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6Rt7dHHHOuMTYjOLip/ikbFinvzCbHQFXWlQxqj/t+TVc3yQ7XYAOrwIIlAY0Jpguuw4GBJfblJx3nGgvGfRhg==" workbookSaltValue="kysyCvb509LCY9yTr5ea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BD17" i="13" s="1"/>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BE12" i="21" s="1"/>
  <c r="BE14" i="21" s="1"/>
  <c r="BE31" i="21" s="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EQ31" i="8"/>
  <c r="EN31" i="8"/>
  <c r="BA14" i="16"/>
  <c r="M26" i="2"/>
  <c r="ES31" i="8"/>
  <c r="N25" i="11"/>
  <c r="F16" i="11"/>
  <c r="AQ16" i="11" s="1"/>
  <c r="EP31" i="8"/>
  <c r="AL14" i="16"/>
  <c r="AJ14" i="16"/>
  <c r="EP31" i="19"/>
  <c r="S14" i="16"/>
  <c r="P14" i="16"/>
  <c r="F13" i="16"/>
  <c r="R30" i="17"/>
  <c r="K26" i="2"/>
  <c r="N26" i="2"/>
  <c r="M23"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G26" i="14"/>
  <c r="S32" i="20"/>
  <c r="K32" i="20"/>
  <c r="O17" i="11"/>
  <c r="AJ32" i="20"/>
  <c r="G30" i="14"/>
  <c r="G23" i="14"/>
  <c r="U18" i="11"/>
  <c r="AX32" i="20"/>
  <c r="Y32" i="20"/>
  <c r="L32" i="20"/>
  <c r="AG32" i="20"/>
  <c r="H32" i="20"/>
  <c r="T32" i="21"/>
  <c r="F32" i="20"/>
  <c r="AF32" i="20"/>
  <c r="AQ32" i="21"/>
  <c r="BF17" i="8" l="1"/>
  <c r="L17" i="14"/>
  <c r="K30" i="2"/>
  <c r="AL21" i="11"/>
  <c r="R11" i="14"/>
  <c r="V13" i="16"/>
  <c r="R8" i="9"/>
  <c r="BH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O10" i="11"/>
  <c r="AP32" i="20"/>
  <c r="W32" i="21"/>
  <c r="AN32" i="20"/>
  <c r="AV32" i="20"/>
  <c r="U17" i="11"/>
  <c r="AQ32" i="20"/>
  <c r="K17" i="12" l="1"/>
  <c r="I10" i="12"/>
  <c r="I9" i="12"/>
  <c r="T12" i="11"/>
  <c r="S13" i="14"/>
  <c r="V13" i="14" s="1"/>
  <c r="I16" i="12"/>
  <c r="K9" i="12"/>
  <c r="T22" i="11"/>
  <c r="R22" i="14"/>
  <c r="R23" i="14" s="1"/>
  <c r="S18" i="14"/>
  <c r="V18" i="14" s="1"/>
  <c r="X12" i="21"/>
  <c r="T9" i="11"/>
  <c r="BF11" i="11"/>
  <c r="BH11" i="16"/>
  <c r="BH21" i="16"/>
  <c r="S20" i="14"/>
  <c r="V20" i="14" s="1"/>
  <c r="BL9" i="11"/>
  <c r="BK13" i="11"/>
  <c r="BH18" i="16"/>
  <c r="BH16" i="11"/>
  <c r="BF19" i="11"/>
  <c r="BH19" i="16"/>
  <c r="BJ19" i="11"/>
  <c r="P18" i="17"/>
  <c r="BL18" i="11"/>
  <c r="BM29" i="11"/>
  <c r="Q29" i="11" s="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BG9" i="11"/>
  <c r="AZ13"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R26" i="14" s="1"/>
  <c r="BH13" i="11"/>
  <c r="V20" i="11"/>
  <c r="BL13" i="11"/>
  <c r="BL25" i="1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Q16" i="11" s="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P20" i="11"/>
  <c r="BK14" i="11"/>
  <c r="BF23" i="11"/>
  <c r="P23" i="17"/>
  <c r="P31" i="17" s="1"/>
  <c r="Q17" i="11"/>
  <c r="BV23" i="16"/>
  <c r="BV26" i="16" s="1"/>
  <c r="BV30" i="16" s="1"/>
  <c r="P29" i="11"/>
  <c r="Q25" i="11"/>
  <c r="Q13" i="11"/>
  <c r="BK23" i="11"/>
  <c r="P18" i="11"/>
  <c r="Q9" i="11"/>
  <c r="X31" i="21"/>
  <c r="AQ17" i="11"/>
  <c r="AA31" i="11"/>
  <c r="BL23" i="11"/>
  <c r="BU33" i="17"/>
  <c r="T23" i="16"/>
  <c r="T31" i="16" s="1"/>
  <c r="BH14" i="11"/>
  <c r="BI23" i="11"/>
  <c r="Q21" i="11"/>
  <c r="P25" i="11"/>
  <c r="AZ31" i="11"/>
  <c r="AZ14" i="11"/>
  <c r="P9" i="11"/>
  <c r="S23" i="16"/>
  <c r="S31" i="16" s="1"/>
  <c r="R14" i="21"/>
  <c r="R31" i="21" s="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<sst xmlns="http://schemas.openxmlformats.org/spreadsheetml/2006/main" count="2682" uniqueCount="1192">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</sst>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c78AGo7ICICxg0qlFzR/fpC6OOR+HeNcIJ5zUPNyA34mpMOhhj3ZEP2tcf7uT5pvo3A2RAcA0JBLhM4uBqmAg==" saltValue="bt9m/z+r0S6YOp+C2Xxl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34</v>
      </c>
      <c r="D10" s="239">
        <f>IF(ISNUMBER(Datos!I10),Datos!I10," - ")</f>
        <v>34</v>
      </c>
      <c r="E10" s="240">
        <f>IF(ISNUMBER(Datos!J10),Datos!J10," - ")</f>
        <v>30</v>
      </c>
      <c r="F10" s="240">
        <f>IF(ISNUMBER(Datos!K10),Datos!K10," - ")</f>
        <v>14</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0.47058823529411764</v>
      </c>
      <c r="L10" s="1402">
        <f>IF(ISNUMBER(NºAsuntos!I10/NºAsuntos!G10),(NºAsuntos!I10/NºAsuntos!G10)*11," - ")</f>
        <v>39.285714285714285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27.232000000000003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30</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1432</v>
      </c>
      <c r="D17" s="239">
        <f>IF(ISNUMBER(IF(D_I="SI",Datos!I17,Datos!I17+Datos!AC17)),IF(D_I="SI",Datos!I17,Datos!I17+Datos!AC17)," - ")</f>
        <v>1427</v>
      </c>
      <c r="E17" s="240">
        <f>IF(ISNUMBER(IF(D_I="SI",Datos!J17,Datos!J17+Datos!AD17)),IF(D_I="SI",Datos!J17,Datos!J17+Datos!AD17)," - ")</f>
        <v>1353</v>
      </c>
      <c r="F17" s="240">
        <f>IF(ISNUMBER(IF(D_I="SI",Datos!K17,Datos!K17+Datos!AE17)),IF(D_I="SI",Datos!K17,Datos!K17+Datos!AE17)," - ")</f>
        <v>1106</v>
      </c>
      <c r="G17" s="1390" t="str">
        <f>IF(Datos!E17&lt;&gt;"",Datos!E17,Datos!D17)</f>
        <v>04</v>
      </c>
      <c r="H17" s="241">
        <f>IF(ISNUMBER(IF(D_I="SI",Datos!L17,Datos!L17+Datos!AF17)),IF(D_I="SI",Datos!L17,Datos!L17+Datos!AF17)," - ")</f>
        <v>1679</v>
      </c>
      <c r="I17" s="1400" t="str">
        <f>IF(ISNUMBER(Datos!AS17/Datos!BM17),Datos!AS17/Datos!BM17," - ")</f>
        <v xml:space="preserve"> - </v>
      </c>
      <c r="J17" s="1401">
        <f>IF(ISNUMBER(Datos!BY17/Datos!CN17),Datos!BY17/Datos!CN17," - ")</f>
        <v>0</v>
      </c>
      <c r="K17" s="244">
        <f t="shared" si="3"/>
        <v>0.17248603351955308</v>
      </c>
      <c r="L17" s="1402">
        <f>IF(ISNUMBER(NºAsuntos!I17/NºAsuntos!G17),(NºAsuntos!I17/NºAsuntos!G17)*11," - ")</f>
        <v>16.698915009041592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111</v>
      </c>
      <c r="D18" s="239">
        <f>IF(ISNUMBER(IF(D_I="SI",Datos!I18,Datos!I18+Datos!AC18)),IF(D_I="SI",Datos!I18,Datos!I18+Datos!AC18)," - ")</f>
        <v>122</v>
      </c>
      <c r="E18" s="240">
        <f>IF(ISNUMBER(IF(D_I="SI",Datos!J18,Datos!J18+Datos!AD18)),IF(D_I="SI",Datos!J18,Datos!J18+Datos!AD18)," - ")</f>
        <v>182</v>
      </c>
      <c r="F18" s="240">
        <f>IF(ISNUMBER(IF(D_I="SI",Datos!K18,Datos!K18+Datos!AE18)),IF(D_I="SI",Datos!K18,Datos!K18+Datos!AE18)," - ")</f>
        <v>164</v>
      </c>
      <c r="G18" s="1390" t="str">
        <f>IF(Datos!E18&lt;&gt;"",Datos!E18,Datos!D18)</f>
        <v>37</v>
      </c>
      <c r="H18" s="241">
        <f>IF(ISNUMBER(IF(D_I="SI",Datos!L18,Datos!L18+Datos!AF18)),IF(D_I="SI",Datos!L18,Datos!L18+Datos!AF18)," - ")</f>
        <v>129</v>
      </c>
      <c r="I18" s="1400" t="str">
        <f>IF(ISNUMBER(Datos!AS18/Datos!BM18),Datos!AS18/Datos!BM18," - ")</f>
        <v xml:space="preserve"> - </v>
      </c>
      <c r="J18" s="1401" t="str">
        <f>IF(ISNUMBER((Datos!BY18+Datos!BZ18)/Datos!CN18),(Datos!BY18+Datos!BZ18)/Datos!CN18," - ")</f>
        <v xml:space="preserve"> - </v>
      </c>
      <c r="K18" s="244">
        <f t="shared" si="3"/>
        <v>0.16216216216216217</v>
      </c>
      <c r="L18" s="1402">
        <f>IF(ISNUMBER(NºAsuntos!I18/NºAsuntos!G18),(NºAsuntos!I18/NºAsuntos!G18)*11," - ")</f>
        <v>8.6524390243902438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1543</v>
      </c>
      <c r="D23" s="1407">
        <f>SUBTOTAL(9,D16:D22)</f>
        <v>1549</v>
      </c>
      <c r="E23" s="1408">
        <f>SUBTOTAL(9,E16:E22)</f>
        <v>1535</v>
      </c>
      <c r="F23" s="1408">
        <f>SUBTOTAL(9,F16:F22)</f>
        <v>1270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1577</v>
      </c>
      <c r="D31" s="1435">
        <f>SUBTOTAL(9,D9:D30)</f>
        <v>1583</v>
      </c>
      <c r="E31" s="1436">
        <f>SUBTOTAL(9,E9:E30)</f>
        <v>1565</v>
      </c>
      <c r="F31" s="1436">
        <f>SUBTOTAL(9,F9:F30)</f>
        <v>1284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m0zjVhD2XgiXLBobVMKnX2ypg7yS/1SHdxmgusTmKCbfdMkfDs8Kx5ATUP/Msalx5oUkDxUQV8Ly/ZN4o2WCw==" saltValue="W1m39N9YBpQbbVMrj/ls9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pDkHahErkbDIJwNSF8F5qYYKSGqpN00pJ7wuK3Q7URAHJK3uhcCnyZd+4P7DgYTWNs29aqu7cYs0x5JrzXYjw==" saltValue="zHePGlAv8WQSRMwRb4Ua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30</v>
      </c>
      <c r="K10" s="194">
        <v>14</v>
      </c>
      <c r="L10" s="194">
        <v>50</v>
      </c>
      <c r="M10" s="194">
        <v>3</v>
      </c>
      <c r="N10" s="194">
        <v>8</v>
      </c>
      <c r="O10" s="194">
        <v>0</v>
      </c>
      <c r="P10" s="194">
        <v>10</v>
      </c>
      <c r="Q10" s="194">
        <v>2</v>
      </c>
      <c r="R10" s="194">
        <v>16</v>
      </c>
      <c r="S10" s="194">
        <v>32</v>
      </c>
      <c r="T10" s="194">
        <v>8</v>
      </c>
      <c r="U10" s="194">
        <v>5</v>
      </c>
      <c r="V10" s="194">
        <v>35</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32</v>
      </c>
      <c r="AZ10" s="139">
        <f t="shared" si="0"/>
        <v>8</v>
      </c>
      <c r="BA10" s="139">
        <f t="shared" si="0"/>
        <v>5</v>
      </c>
      <c r="BB10" s="139">
        <f t="shared" si="0"/>
        <v>35</v>
      </c>
      <c r="BC10" s="135">
        <f t="shared" si="0"/>
        <v>1</v>
      </c>
      <c r="BD10" s="136">
        <f>IF(ISNUMBER(BA10/AZ10),BA10/AZ10," - ")</f>
        <v>0.625</v>
      </c>
      <c r="BE10" s="137">
        <f>IF(ISNUMBER(BB10/BA10),BB10/BA10, " - ")</f>
        <v>7</v>
      </c>
      <c r="BF10" s="137">
        <f>IF(ISNUMBER(BC10/BA10),BC10/BA10, " - ")</f>
        <v>0.2</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3258</v>
      </c>
      <c r="J12" s="196">
        <v>1114</v>
      </c>
      <c r="K12" s="196">
        <v>1183</v>
      </c>
      <c r="L12" s="196">
        <v>3189</v>
      </c>
      <c r="M12" s="196">
        <v>517</v>
      </c>
      <c r="N12" s="196">
        <v>415</v>
      </c>
      <c r="O12" s="194">
        <v>512</v>
      </c>
      <c r="P12" s="196">
        <v>388</v>
      </c>
      <c r="Q12" s="196">
        <v>251</v>
      </c>
      <c r="R12" s="196">
        <v>5660</v>
      </c>
      <c r="S12" s="196">
        <v>3519</v>
      </c>
      <c r="T12" s="196">
        <v>1192</v>
      </c>
      <c r="U12" s="196">
        <v>1206</v>
      </c>
      <c r="V12" s="196">
        <v>3505</v>
      </c>
      <c r="W12" s="196">
        <v>505</v>
      </c>
      <c r="X12" s="202">
        <v>357</v>
      </c>
      <c r="Y12" s="204">
        <v>202</v>
      </c>
      <c r="Z12" s="194">
        <v>205</v>
      </c>
      <c r="AA12" s="194">
        <v>192</v>
      </c>
      <c r="AB12" s="194">
        <v>215</v>
      </c>
      <c r="AC12" s="196">
        <v>0</v>
      </c>
      <c r="AD12" s="196">
        <v>0</v>
      </c>
      <c r="AE12" s="196">
        <v>0</v>
      </c>
      <c r="AF12" s="202">
        <v>0</v>
      </c>
      <c r="AG12" s="215">
        <v>172</v>
      </c>
      <c r="AH12" s="196">
        <v>149</v>
      </c>
      <c r="AI12" s="196">
        <v>148</v>
      </c>
      <c r="AJ12" s="216">
        <v>173</v>
      </c>
      <c r="AK12" s="195">
        <v>0</v>
      </c>
      <c r="AL12" s="196">
        <v>0</v>
      </c>
      <c r="AM12" s="196">
        <v>0</v>
      </c>
      <c r="AN12" s="202">
        <v>0</v>
      </c>
      <c r="AO12" s="283">
        <v>7</v>
      </c>
      <c r="AP12" s="168">
        <v>7</v>
      </c>
      <c r="AQ12" s="168">
        <v>7</v>
      </c>
      <c r="AR12" s="167">
        <v>7</v>
      </c>
      <c r="AS12" s="381" t="s">
        <v>1075</v>
      </c>
      <c r="AT12" s="216"/>
      <c r="AU12" s="215"/>
      <c r="AV12" s="216"/>
      <c r="AW12" s="215"/>
      <c r="AX12" s="216"/>
      <c r="AY12" s="136">
        <f t="shared" si="1"/>
        <v>3691</v>
      </c>
      <c r="AZ12" s="137">
        <f t="shared" si="1"/>
        <v>1341</v>
      </c>
      <c r="BA12" s="137">
        <f t="shared" si="1"/>
        <v>1354</v>
      </c>
      <c r="BB12" s="137">
        <f t="shared" si="1"/>
        <v>3678</v>
      </c>
      <c r="BC12" s="135">
        <f>IF(ISNUMBER(X12),X12," - ")</f>
        <v>357</v>
      </c>
      <c r="BD12" s="136">
        <f t="shared" si="2"/>
        <v>1.0096942580164057</v>
      </c>
      <c r="BE12" s="137">
        <f t="shared" si="3"/>
        <v>2.7163958641063517</v>
      </c>
      <c r="BF12" s="137">
        <f t="shared" si="4"/>
        <v>0.2636632200886263</v>
      </c>
      <c r="BG12" s="209">
        <f t="shared" si="5"/>
        <v>3.7163958641063517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3292</v>
      </c>
      <c r="J14" s="197">
        <f t="shared" si="7"/>
        <v>1144</v>
      </c>
      <c r="K14" s="197">
        <f t="shared" si="7"/>
        <v>1197</v>
      </c>
      <c r="L14" s="197">
        <f t="shared" si="7"/>
        <v>3239</v>
      </c>
      <c r="M14" s="197">
        <f t="shared" si="7"/>
        <v>520</v>
      </c>
      <c r="N14" s="197">
        <f t="shared" si="7"/>
        <v>423</v>
      </c>
      <c r="O14" s="197">
        <f t="shared" si="7"/>
        <v>512</v>
      </c>
      <c r="P14" s="197">
        <f t="shared" si="7"/>
        <v>398</v>
      </c>
      <c r="Q14" s="197">
        <f t="shared" si="7"/>
        <v>253</v>
      </c>
      <c r="R14" s="197">
        <f t="shared" si="7"/>
        <v>5676</v>
      </c>
      <c r="S14" s="197">
        <f t="shared" si="7"/>
        <v>3551</v>
      </c>
      <c r="T14" s="197">
        <f t="shared" si="7"/>
        <v>1200</v>
      </c>
      <c r="U14" s="197">
        <f t="shared" si="7"/>
        <v>1211</v>
      </c>
      <c r="V14" s="197">
        <f t="shared" si="7"/>
        <v>3540</v>
      </c>
      <c r="W14" s="197">
        <f t="shared" si="7"/>
        <v>506</v>
      </c>
      <c r="X14" s="197">
        <f t="shared" si="7"/>
        <v>358</v>
      </c>
      <c r="Y14" s="197">
        <f t="shared" si="7"/>
        <v>202</v>
      </c>
      <c r="Z14" s="197">
        <f t="shared" si="7"/>
        <v>205</v>
      </c>
      <c r="AA14" s="197">
        <f t="shared" si="7"/>
        <v>192</v>
      </c>
      <c r="AB14" s="197">
        <f t="shared" si="7"/>
        <v>215</v>
      </c>
      <c r="AC14" s="197">
        <f t="shared" si="7"/>
        <v>0</v>
      </c>
      <c r="AD14" s="197">
        <f t="shared" si="7"/>
        <v>0</v>
      </c>
      <c r="AE14" s="197">
        <f t="shared" si="7"/>
        <v>0</v>
      </c>
      <c r="AF14" s="197">
        <f>SUBTOTAL(9,AF9:AF13)</f>
        <v>0</v>
      </c>
      <c r="AG14" s="197">
        <f t="shared" ref="AG14:AT14" si="8">SUBTOTAL(9,AG8:AG13)</f>
        <v>172</v>
      </c>
      <c r="AH14" s="197">
        <f t="shared" si="8"/>
        <v>149</v>
      </c>
      <c r="AI14" s="197">
        <f t="shared" si="8"/>
        <v>148</v>
      </c>
      <c r="AJ14" s="197">
        <f t="shared" si="8"/>
        <v>173</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3723</v>
      </c>
      <c r="AZ14" s="197">
        <f>SUBTOTAL(9,AZ8:AZ13)</f>
        <v>1349</v>
      </c>
      <c r="BA14" s="197">
        <f>SUBTOTAL(9,BA8:BA13)</f>
        <v>1359</v>
      </c>
      <c r="BB14" s="197">
        <f>SUBTOTAL(9,BB8:BB13)</f>
        <v>3713</v>
      </c>
      <c r="BC14" s="197">
        <f>SUBTOTAL(9,BC8:BC13)</f>
        <v>358</v>
      </c>
      <c r="BD14" s="219">
        <f>IF(ISNUMBER(BA14/AZ14),BA14/AZ14," - ")</f>
        <v>1.0074128984432913</v>
      </c>
      <c r="BE14" s="220">
        <f>IF(ISNUMBER(BB14/BA14),BB14/BA14, " - ")</f>
        <v>2.7321559970566591</v>
      </c>
      <c r="BF14" s="220">
        <f>IF(ISNUMBER(BC14/BA14),BC14/BA14, " - ")</f>
        <v>0.26342899190581309</v>
      </c>
      <c r="BG14" s="221">
        <f>IF(ISNUMBER((AY14+AZ14)/BA14),(AY14+AZ14)/BA14," - ")</f>
        <v>3.7321559970566591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1427</v>
      </c>
      <c r="J17" s="196">
        <v>1353</v>
      </c>
      <c r="K17" s="196">
        <v>1106</v>
      </c>
      <c r="L17" s="196">
        <v>1679</v>
      </c>
      <c r="M17" s="196">
        <v>142</v>
      </c>
      <c r="N17" s="196">
        <v>685</v>
      </c>
      <c r="O17" s="194">
        <v>5</v>
      </c>
      <c r="P17" s="196">
        <v>59</v>
      </c>
      <c r="Q17" s="196">
        <v>43</v>
      </c>
      <c r="R17" s="196">
        <v>263</v>
      </c>
      <c r="S17" s="196">
        <v>1692</v>
      </c>
      <c r="T17" s="196">
        <v>1193</v>
      </c>
      <c r="U17" s="196">
        <v>1235</v>
      </c>
      <c r="V17" s="196">
        <v>1657</v>
      </c>
      <c r="W17" s="196">
        <v>160</v>
      </c>
      <c r="X17" s="202">
        <v>827</v>
      </c>
      <c r="Y17" s="215">
        <v>0</v>
      </c>
      <c r="Z17" s="196">
        <v>0</v>
      </c>
      <c r="AA17" s="196">
        <v>0</v>
      </c>
      <c r="AB17" s="196">
        <v>0</v>
      </c>
      <c r="AC17" s="196">
        <v>1</v>
      </c>
      <c r="AD17" s="196">
        <v>8</v>
      </c>
      <c r="AE17" s="196">
        <v>8</v>
      </c>
      <c r="AF17" s="202">
        <v>1</v>
      </c>
      <c r="AG17" s="215">
        <v>0</v>
      </c>
      <c r="AH17" s="196">
        <v>0</v>
      </c>
      <c r="AI17" s="196">
        <v>0</v>
      </c>
      <c r="AJ17" s="216">
        <v>0</v>
      </c>
      <c r="AK17" s="195">
        <v>0</v>
      </c>
      <c r="AL17" s="196">
        <v>4</v>
      </c>
      <c r="AM17" s="196">
        <v>4</v>
      </c>
      <c r="AN17" s="202">
        <v>0</v>
      </c>
      <c r="AO17" s="283">
        <v>7</v>
      </c>
      <c r="AP17" s="168">
        <v>7</v>
      </c>
      <c r="AQ17" s="168">
        <v>7</v>
      </c>
      <c r="AR17" s="168">
        <v>7</v>
      </c>
      <c r="AS17" s="381" t="s">
        <v>650</v>
      </c>
      <c r="AT17" s="216"/>
      <c r="AU17" s="215"/>
      <c r="AV17" s="216"/>
      <c r="AW17" s="215"/>
      <c r="AX17" s="216"/>
      <c r="AY17" s="136">
        <f t="shared" si="10"/>
        <v>1692</v>
      </c>
      <c r="AZ17" s="137">
        <f t="shared" si="10"/>
        <v>1193</v>
      </c>
      <c r="BA17" s="137">
        <f t="shared" si="10"/>
        <v>1235</v>
      </c>
      <c r="BB17" s="137">
        <f t="shared" si="10"/>
        <v>1657</v>
      </c>
      <c r="BC17" s="135">
        <f>IF(ISNUMBER(W17),W17," - ")</f>
        <v>160</v>
      </c>
      <c r="BD17" s="136">
        <f t="shared" ref="BD17:BD22" si="12">IF(ISNUMBER(BA17/AZ17),BA17/AZ17," - ")</f>
        <v>1.0352053646269908</v>
      </c>
      <c r="BE17" s="137">
        <f t="shared" ref="BE17:BE22" si="13">IF(ISNUMBER(BB17/BA17),BB17/BA17, " - ")</f>
        <v>1.3417004048582997</v>
      </c>
      <c r="BF17" s="137">
        <f t="shared" ref="BF17:BF22" si="14">IF(ISNUMBER(BC17/BA17),BC17/BA17, " - ")</f>
        <v>0.12955465587044535</v>
      </c>
      <c r="BG17" s="209">
        <f t="shared" si="11"/>
        <v>2.3360323886639676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122</v>
      </c>
      <c r="J18" s="196">
        <v>182</v>
      </c>
      <c r="K18" s="196">
        <v>164</v>
      </c>
      <c r="L18" s="196">
        <v>129</v>
      </c>
      <c r="M18" s="196">
        <v>21</v>
      </c>
      <c r="N18" s="196">
        <v>73</v>
      </c>
      <c r="O18" s="196">
        <v>0</v>
      </c>
      <c r="P18" s="196">
        <v>4</v>
      </c>
      <c r="Q18" s="196">
        <v>3</v>
      </c>
      <c r="R18" s="196">
        <v>12</v>
      </c>
      <c r="S18" s="196">
        <v>100</v>
      </c>
      <c r="T18" s="196">
        <v>107</v>
      </c>
      <c r="U18" s="196">
        <v>94</v>
      </c>
      <c r="V18" s="196">
        <v>113</v>
      </c>
      <c r="W18" s="196">
        <v>13</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100</v>
      </c>
      <c r="AZ18" s="139">
        <f t="shared" si="15"/>
        <v>107</v>
      </c>
      <c r="BA18" s="139">
        <f t="shared" si="15"/>
        <v>94</v>
      </c>
      <c r="BB18" s="139">
        <f t="shared" si="15"/>
        <v>113</v>
      </c>
      <c r="BC18" s="135">
        <f>IF(ISNUMBER(W18),W18," - ")</f>
        <v>13</v>
      </c>
      <c r="BD18" s="136">
        <f>IF(ISNUMBER(BA18/AZ18),BA18/AZ18," - ")</f>
        <v>0.87850467289719625</v>
      </c>
      <c r="BE18" s="137">
        <f>IF(ISNUMBER(BB18/BA18),BB18/BA18, " - ")</f>
        <v>1.2021276595744681</v>
      </c>
      <c r="BF18" s="137">
        <f>IF(ISNUMBER(BC18/BA18),BC18/BA18, " - ")</f>
        <v>0.13829787234042554</v>
      </c>
      <c r="BG18" s="209">
        <f>IF(ISNUMBER((AY18+AZ18)/BA18),(AY18+AZ18)/BA18," - ")</f>
        <v>2.2021276595744679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1549</v>
      </c>
      <c r="J23" s="197">
        <f t="shared" si="21"/>
        <v>1535</v>
      </c>
      <c r="K23" s="197">
        <f t="shared" si="21"/>
        <v>1270</v>
      </c>
      <c r="L23" s="197">
        <f t="shared" si="21"/>
        <v>1808</v>
      </c>
      <c r="M23" s="197">
        <f t="shared" si="21"/>
        <v>163</v>
      </c>
      <c r="N23" s="197">
        <f t="shared" si="21"/>
        <v>758</v>
      </c>
      <c r="O23" s="197">
        <f t="shared" si="21"/>
        <v>5</v>
      </c>
      <c r="P23" s="197">
        <f t="shared" si="21"/>
        <v>63</v>
      </c>
      <c r="Q23" s="197">
        <f t="shared" si="21"/>
        <v>46</v>
      </c>
      <c r="R23" s="197">
        <f t="shared" si="21"/>
        <v>275</v>
      </c>
      <c r="S23" s="197">
        <f t="shared" si="21"/>
        <v>1792</v>
      </c>
      <c r="T23" s="197">
        <f t="shared" si="21"/>
        <v>1300</v>
      </c>
      <c r="U23" s="197">
        <f t="shared" si="21"/>
        <v>1329</v>
      </c>
      <c r="V23" s="197">
        <f t="shared" si="21"/>
        <v>1770</v>
      </c>
      <c r="W23" s="197">
        <f t="shared" si="21"/>
        <v>173</v>
      </c>
      <c r="X23" s="197">
        <f t="shared" si="21"/>
        <v>870</v>
      </c>
      <c r="Y23" s="197">
        <f t="shared" si="21"/>
        <v>0</v>
      </c>
      <c r="Z23" s="197">
        <f t="shared" si="21"/>
        <v>0</v>
      </c>
      <c r="AA23" s="197">
        <f t="shared" si="21"/>
        <v>0</v>
      </c>
      <c r="AB23" s="197">
        <f t="shared" si="21"/>
        <v>0</v>
      </c>
      <c r="AC23" s="197">
        <f t="shared" si="21"/>
        <v>1</v>
      </c>
      <c r="AD23" s="197">
        <f t="shared" si="21"/>
        <v>8</v>
      </c>
      <c r="AE23" s="197">
        <f t="shared" si="21"/>
        <v>8</v>
      </c>
      <c r="AF23" s="197">
        <f t="shared" si="21"/>
        <v>1</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1792</v>
      </c>
      <c r="AZ23" s="197">
        <f>SUBTOTAL(9,AZ15:AZ22)</f>
        <v>1300</v>
      </c>
      <c r="BA23" s="197">
        <f>SUBTOTAL(9,BA15:BA22)</f>
        <v>1329</v>
      </c>
      <c r="BB23" s="197">
        <f>SUBTOTAL(9,BB15:BB22)</f>
        <v>1770</v>
      </c>
      <c r="BC23" s="197">
        <f>SUBTOTAL(9,BC15:BC22)</f>
        <v>173</v>
      </c>
      <c r="BD23" s="219">
        <f>IF(ISNUMBER(BA23/AZ23),BA23/AZ23," - ")</f>
        <v>1.0223076923076924</v>
      </c>
      <c r="BE23" s="220">
        <f>IF(ISNUMBER(BB23/BA23),BB23/BA23, " - ")</f>
        <v>1.3318284424379232</v>
      </c>
      <c r="BF23" s="220">
        <f>IF(ISNUMBER(BC23/BA23),BC23/BA23, " - ")</f>
        <v>0.13017306245297217</v>
      </c>
      <c r="BG23" s="221">
        <f>IF(ISNUMBER((AY23+AZ23)/BA23),(AY23+AZ23)/BA23," - ")</f>
        <v>2.326561324303988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4841</v>
      </c>
      <c r="J31" s="144">
        <f t="shared" si="36"/>
        <v>2679</v>
      </c>
      <c r="K31" s="144">
        <f t="shared" si="36"/>
        <v>2467</v>
      </c>
      <c r="L31" s="144">
        <f t="shared" si="36"/>
        <v>5047</v>
      </c>
      <c r="M31" s="144">
        <f t="shared" si="36"/>
        <v>683</v>
      </c>
      <c r="N31" s="144">
        <f t="shared" si="36"/>
        <v>1181</v>
      </c>
      <c r="O31" s="144">
        <f t="shared" si="36"/>
        <v>517</v>
      </c>
      <c r="P31" s="144">
        <f t="shared" si="36"/>
        <v>461</v>
      </c>
      <c r="Q31" s="144">
        <f t="shared" si="36"/>
        <v>299</v>
      </c>
      <c r="R31" s="144">
        <f t="shared" si="36"/>
        <v>5951</v>
      </c>
      <c r="S31" s="144">
        <f t="shared" si="36"/>
        <v>5343</v>
      </c>
      <c r="T31" s="144">
        <f t="shared" si="36"/>
        <v>2500</v>
      </c>
      <c r="U31" s="144">
        <f t="shared" si="36"/>
        <v>2540</v>
      </c>
      <c r="V31" s="144">
        <f t="shared" si="36"/>
        <v>5310</v>
      </c>
      <c r="W31" s="144">
        <f t="shared" si="36"/>
        <v>679</v>
      </c>
      <c r="X31" s="144">
        <f t="shared" si="36"/>
        <v>1228</v>
      </c>
      <c r="Y31" s="144">
        <f t="shared" si="36"/>
        <v>202</v>
      </c>
      <c r="Z31" s="144">
        <f t="shared" si="36"/>
        <v>205</v>
      </c>
      <c r="AA31" s="144">
        <f t="shared" si="36"/>
        <v>192</v>
      </c>
      <c r="AB31" s="144">
        <f t="shared" si="36"/>
        <v>215</v>
      </c>
      <c r="AC31" s="144">
        <f t="shared" si="36"/>
        <v>1</v>
      </c>
      <c r="AD31" s="144">
        <f t="shared" si="36"/>
        <v>8</v>
      </c>
      <c r="AE31" s="144">
        <f t="shared" si="36"/>
        <v>8</v>
      </c>
      <c r="AF31" s="144">
        <f t="shared" si="36"/>
        <v>1</v>
      </c>
      <c r="AG31" s="144">
        <f t="shared" si="36"/>
        <v>172</v>
      </c>
      <c r="AH31" s="144">
        <f t="shared" si="36"/>
        <v>149</v>
      </c>
      <c r="AI31" s="144">
        <f t="shared" si="36"/>
        <v>148</v>
      </c>
      <c r="AJ31" s="144">
        <f t="shared" si="36"/>
        <v>173</v>
      </c>
      <c r="AK31" s="144">
        <f t="shared" si="36"/>
        <v>0</v>
      </c>
      <c r="AL31" s="144">
        <f t="shared" si="36"/>
        <v>4</v>
      </c>
      <c r="AM31" s="144">
        <f t="shared" si="36"/>
        <v>4</v>
      </c>
      <c r="AN31" s="224">
        <f t="shared" si="36"/>
        <v>0</v>
      </c>
      <c r="AO31" s="225">
        <v>9</v>
      </c>
      <c r="AP31" s="225">
        <v>8</v>
      </c>
      <c r="AQ31" s="225">
        <v>8</v>
      </c>
      <c r="AR31" s="225">
        <v>8</v>
      </c>
      <c r="AS31" s="166">
        <f t="shared" si="36"/>
        <v>0</v>
      </c>
      <c r="AT31" s="166">
        <f t="shared" si="36"/>
        <v>0</v>
      </c>
      <c r="AU31" s="225"/>
      <c r="AV31" s="226"/>
      <c r="AW31" s="225"/>
      <c r="AX31" s="226"/>
      <c r="AY31" s="143">
        <f>SUBTOTAL(9,AY9:AY30)</f>
        <v>5515</v>
      </c>
      <c r="AZ31" s="144">
        <f>SUBTOTAL(9,AZ9:AZ30)</f>
        <v>2649</v>
      </c>
      <c r="BA31" s="144">
        <f>SUBTOTAL(9,BA9:BA30)</f>
        <v>2688</v>
      </c>
      <c r="BB31" s="144">
        <f>SUBTOTAL(9,BB9:BB30)</f>
        <v>5483</v>
      </c>
      <c r="BC31" s="145">
        <f>SUBTOTAL(9,BC9:BC30)</f>
        <v>531</v>
      </c>
      <c r="BD31" s="227">
        <f>IF(ISNUMBER(BA31/AZ31),BA31/AZ31," - ")</f>
        <v>1.0147225368063419</v>
      </c>
      <c r="BE31" s="224">
        <f>IF(ISNUMBER(BB31/BA31),BB31/BA31, " - ")</f>
        <v>2.0398065476190474</v>
      </c>
      <c r="BF31" s="224">
        <f>IF(ISNUMBER(BC31/BA31),BC31/BA31, " - ")</f>
        <v>0.19754464285714285</v>
      </c>
      <c r="BG31" s="145">
        <f>IF(ISNUMBER((AY31+AZ31)/BA31),(AY31+AZ31)/BA31," - ")</f>
        <v>3.0372023809523809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diCgnDgbY9CIRvPpdOwxa4FyDHAViKDUkZkDykZycBL2G42ANTTXOlntFdSo56WJJj20/FAV8KMoqdeu7o3BA==" saltValue="fytGAO4yqOSE+jxWvrk3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TY9tafMZ1cT5lvgzSsd2nPTvYioqMhikey5jpjbTBQA1m/euOyePflHwVaVA+D/cQJBU2Y27dWPXFTFNe5WA==" saltValue="27hVrC/sSFLErD/XpJ5X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CACERES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2</v>
      </c>
      <c r="AD10" s="549"/>
      <c r="AE10" s="563"/>
      <c r="AF10" s="551">
        <f>IF(ISNUMBER(Datos!L10),Datos!L10,"-")</f>
        <v>50</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8</v>
      </c>
      <c r="BE10" s="693" t="str">
        <f>IF(ISNUMBER(Datos!BW10),Datos!BW10," - ")</f>
        <v xml:space="preserve"> - </v>
      </c>
      <c r="BF10" s="762" t="str">
        <f>IF(ISNUMBER(Datos!BX10),Datos!BX10," - ")</f>
        <v xml:space="preserve"> - </v>
      </c>
      <c r="BG10" s="763">
        <f>IF(ISNUMBER(Datos!K10/Datos!J10),Datos!K10/Datos!J10," - ")</f>
        <v>0.46666666666666667</v>
      </c>
      <c r="BH10" s="764">
        <f>IF(ISNUMBER(((Datos!L10/Datos!K10)*11)/factor_trimestre),((Datos!L10/Datos!K10)*11)/factor_trimestre," - ")</f>
        <v>7.1428571428571423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205</v>
      </c>
      <c r="O12" s="549"/>
      <c r="P12" s="549"/>
      <c r="Q12" s="547">
        <f>IF(ISNUMBER(Datos!P12),Datos!P12,0)</f>
        <v>388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215</v>
      </c>
      <c r="AI12" s="549" t="str">
        <f>IF(ISNUMBER(Datos!CD12),Datos!CD12,"-")</f>
        <v>-</v>
      </c>
      <c r="AJ12" s="549" t="str">
        <f>IF(ISNUMBER(Datos!EN12),Datos!EN12," - ")</f>
        <v xml:space="preserve"> - </v>
      </c>
      <c r="AK12" s="549"/>
      <c r="AL12" s="550"/>
      <c r="AM12" s="766">
        <f>IF(ISNUMBER(Datos!R12),Datos!R12," - ")</f>
        <v>5660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517</v>
      </c>
      <c r="BD12" s="693">
        <f>IF(ISNUMBER(Datos!N12),Datos!N12," - ")</f>
        <v>415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1.0424564063684609</v>
      </c>
      <c r="BH12" s="764">
        <f>IF(ISNUMBER(((IF(J_V="SI",Datos!L12/Datos!K12,(Datos!L12+Datos!AB12)/(Datos!K12+Datos!AA12)))*11)/factor_trimestre),((IF(J_V="SI",Datos!L12/Datos!K12,(Datos!L12+Datos!AB12)/(Datos!K12+Datos!AA12)))*11)/factor_trimestre," - ")</f>
        <v>4.9512727272727277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2.4805359406119862E-2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205</v>
      </c>
      <c r="O14" s="1199">
        <f t="shared" si="1"/>
        <v>0</v>
      </c>
      <c r="P14" s="1199">
        <f t="shared" si="1"/>
        <v>0</v>
      </c>
      <c r="Q14" s="1198">
        <f t="shared" si="1"/>
        <v>398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253</v>
      </c>
      <c r="AD14" s="1198">
        <f t="shared" si="2"/>
        <v>0</v>
      </c>
      <c r="AE14" s="1198">
        <f t="shared" si="2"/>
        <v>0</v>
      </c>
      <c r="AF14" s="1198">
        <f t="shared" si="2"/>
        <v>50</v>
      </c>
      <c r="AG14" s="1198">
        <f t="shared" si="2"/>
        <v>0</v>
      </c>
      <c r="AH14" s="1198">
        <f t="shared" si="2"/>
        <v>215</v>
      </c>
      <c r="AI14" s="1198">
        <f t="shared" si="2"/>
        <v>0</v>
      </c>
      <c r="AJ14" s="1198">
        <f t="shared" si="2"/>
        <v>0</v>
      </c>
      <c r="AK14" s="1198">
        <f t="shared" si="2"/>
        <v>0</v>
      </c>
      <c r="AL14" s="1198">
        <f t="shared" si="2"/>
        <v>0</v>
      </c>
      <c r="AM14" s="1198">
        <f t="shared" si="2"/>
        <v>5676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520</v>
      </c>
      <c r="BD14" s="1198">
        <f t="shared" si="2"/>
        <v>423</v>
      </c>
      <c r="BE14" s="1198">
        <f t="shared" si="2"/>
        <v>0</v>
      </c>
      <c r="BF14" s="1198">
        <f t="shared" si="2"/>
        <v>0</v>
      </c>
      <c r="BG14" s="1198">
        <f>IF(ISNUMBER(Datos!K14/Datos!J14),Datos!K14/Datos!J14," - ")</f>
        <v>1.0463286713286712</v>
      </c>
      <c r="BH14" s="1202">
        <f>IF(ISNUMBER(((Datos!L14/Datos!K14)*11)/factor_trimestre),((Datos!L14/Datos!K14)*11)/factor_trimestre," - ")</f>
        <v>5.4118629908103593</v>
      </c>
      <c r="BI14" s="1198">
        <f>IF(ISNUMBER('Resol  Asuntos'!D14/NºAsuntos!G14),'Resol  Asuntos'!D14/NºAsuntos!G14," - ")</f>
        <v>0.37437005039596832</v>
      </c>
      <c r="BJ14" s="1198" t="str">
        <f>IF(ISNUMBER(Datos!CI14/Datos!CJ14),Datos!CI14/Datos!CJ14," - ")</f>
        <v xml:space="preserve"> - </v>
      </c>
      <c r="BK14" s="1198">
        <f>SUBTOTAL(9,BK8:BK13)</f>
        <v>0</v>
      </c>
      <c r="BL14" s="1198">
        <f>IF(ISNUMBER((I14-AB14+L14)/(F14)),(I14-AB14+L14)/(F14)," - ")</f>
        <v>-0.41176470588235292</v>
      </c>
      <c r="BM14" s="1203">
        <f>SUBTOTAL(9,BM9:BM13)</f>
        <v>1.0248053594061199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1432</v>
      </c>
      <c r="G17" s="743">
        <f>IF(ISNUMBER(IF(D_I="SI",Datos!I17,Datos!I17+Datos!AC17)),IF(D_I="SI",Datos!I17,Datos!I17+Datos!AC17)," - ")</f>
        <v>1427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1106</v>
      </c>
      <c r="AC17" s="240">
        <f>IF(ISNUMBER(Datos!Q17),Datos!Q17," - ")</f>
        <v>43</v>
      </c>
      <c r="AD17" s="374"/>
      <c r="AE17" s="562"/>
      <c r="AF17" s="741">
        <f>IF(ISNUMBER(IF(D_I="SI",Datos!L17,Datos!L17+Datos!AF17)),IF(D_I="SI",Datos!L17,Datos!L17+Datos!AF17)," - ")</f>
        <v>1679</v>
      </c>
      <c r="AG17" s="374"/>
      <c r="AH17" s="374"/>
      <c r="AI17" s="374"/>
      <c r="AJ17" s="549"/>
      <c r="AK17" s="374"/>
      <c r="AL17" s="545"/>
      <c r="AM17" s="375">
        <f>IF(ISNUMBER(Datos!R17),Datos!R17," - ")</f>
        <v>263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142</v>
      </c>
      <c r="BD17" s="243">
        <f>IF(ISNUMBER(Datos!N17),Datos!N17," - ")</f>
        <v>685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0.81744271988174422</v>
      </c>
      <c r="BH17" s="764">
        <f>IF(ISNUMBER(((IF(D_I="SI",Datos!L17/Datos!K17,(Datos!L17+Datos!AF17)/(Datos!K17+Datos!AE17)))*11)/factor_trimestre),((IF(D_I="SI",Datos!L17/Datos!K17,(Datos!L17+Datos!AF17)/(Datos!K17+Datos!AE17)))*11)/factor_trimestre," - ")</f>
        <v>3.0361663652802893</v>
      </c>
      <c r="BI17" s="266">
        <f>IF(ISNUMBER('Resol  Asuntos'!D17/NºAsuntos!G17),'Resol  Asuntos'!D17/NºAsuntos!G17," - ")</f>
        <v>0.12839059674502712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164</v>
      </c>
      <c r="AC18" s="547">
        <f>IF(ISNUMBER(Datos!Q18),Datos!Q18," - ")</f>
        <v>3</v>
      </c>
      <c r="AD18" s="549"/>
      <c r="AE18" s="562"/>
      <c r="AF18" s="551">
        <f>IF(ISNUMBER(Datos!L18),Datos!L18,"-")</f>
        <v>129</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73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0.90109890109890112</v>
      </c>
      <c r="BH18" s="764">
        <f>IF(ISNUMBER(((IF(D_I="SI",Datos!L18/Datos!K18,(Datos!L18+Datos!AF18)/(Datos!K18+Datos!AE18)))*11)/factor_trimestre),((IF(D_I="SI",Datos!L18/Datos!K18,(Datos!L18+Datos!AF18)/(Datos!K18+Datos!AE18)))*11)/factor_trimestre," - ")</f>
        <v>1.5731707317073171</v>
      </c>
      <c r="BI18" s="763">
        <f>IF(ISNUMBER('Resol  Asuntos'!D18/NºAsuntos!G18),'Resol  Asuntos'!D18/NºAsuntos!G18," - ")</f>
        <v>0.12804878048780488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1432</v>
      </c>
      <c r="G23" s="1197">
        <f>SUBTOTAL(9,G16:G22)</f>
        <v>1549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1270</v>
      </c>
      <c r="AC23" s="1198">
        <f t="shared" si="5"/>
        <v>46</v>
      </c>
      <c r="AD23" s="1198">
        <f t="shared" si="5"/>
        <v>0</v>
      </c>
      <c r="AE23" s="1198">
        <f t="shared" si="5"/>
        <v>0</v>
      </c>
      <c r="AF23" s="1198">
        <f t="shared" si="5"/>
        <v>1808</v>
      </c>
      <c r="AG23" s="1198">
        <f t="shared" si="5"/>
        <v>0</v>
      </c>
      <c r="AH23" s="1198">
        <f t="shared" si="5"/>
        <v>0</v>
      </c>
      <c r="AI23" s="1198">
        <f t="shared" si="5"/>
        <v>0</v>
      </c>
      <c r="AJ23" s="1198">
        <f t="shared" si="5"/>
        <v>0</v>
      </c>
      <c r="AK23" s="1198">
        <f t="shared" si="5"/>
        <v>0</v>
      </c>
      <c r="AL23" s="1198">
        <f t="shared" si="5"/>
        <v>0</v>
      </c>
      <c r="AM23" s="1198">
        <f t="shared" si="5"/>
        <v>275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163</v>
      </c>
      <c r="BD23" s="1198">
        <f t="shared" si="5"/>
        <v>758</v>
      </c>
      <c r="BE23" s="1198">
        <f t="shared" si="5"/>
        <v>0</v>
      </c>
      <c r="BF23" s="1198">
        <f t="shared" si="5"/>
        <v>0</v>
      </c>
      <c r="BG23" s="1198">
        <f>IF(ISNUMBER(Datos!K23/Datos!J23),Datos!K23/Datos!J23," - ")</f>
        <v>0.82736156351791534</v>
      </c>
      <c r="BH23" s="1202">
        <f>IF(ISNUMBER(((Datos!L23/Datos!K23)*11)/factor_trimestre),((Datos!L23/Datos!K23)*11)/factor_trimestre," - ")</f>
        <v>2.8472440944881892</v>
      </c>
      <c r="BI23" s="1198">
        <f>SUBTOTAL(9,BI16:BI22)</f>
        <v>0.256439377232832</v>
      </c>
      <c r="BJ23" s="1198">
        <f>SUBTOTAL(9,BJ16:BJ22)</f>
        <v>0</v>
      </c>
      <c r="BK23" s="1198">
        <f>SUBTOTAL(9,BK16:BK22)</f>
        <v>0</v>
      </c>
      <c r="BL23" s="1198">
        <f>IF(ISNUMBER((I23-AB23+L23)/(F23)),(I23-AB23+L23)/(F23)," - ")</f>
        <v>-0.88687150837988826</v>
      </c>
      <c r="BM23" s="1205">
        <f>IF(ISNUMBER((Datos!P23-Datos!Q23)/(Datos!R23-Datos!P23+Datos!Q23)),(Datos!P23-Datos!Q23)/(Datos!R23-Datos!P23+Datos!Q23)," - ")</f>
        <v>6.589147286821706E-2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1466</v>
      </c>
      <c r="G31" s="1117">
        <f t="shared" si="18"/>
        <v>1583</v>
      </c>
      <c r="H31" s="1119">
        <f t="shared" si="18"/>
        <v>0</v>
      </c>
      <c r="I31" s="1117">
        <f t="shared" si="18"/>
        <v>0</v>
      </c>
      <c r="J31" s="1119">
        <f t="shared" si="18"/>
        <v>0</v>
      </c>
      <c r="K31" s="1119">
        <f t="shared" si="18"/>
        <v>0</v>
      </c>
      <c r="L31" s="1180">
        <f t="shared" si="18"/>
        <v>0</v>
      </c>
      <c r="M31" s="1180">
        <f t="shared" si="18"/>
        <v>0</v>
      </c>
      <c r="N31" s="1180">
        <f t="shared" si="18"/>
        <v>205</v>
      </c>
      <c r="O31" s="1180">
        <f t="shared" si="18"/>
        <v>0</v>
      </c>
      <c r="P31" s="1180">
        <f t="shared" si="18"/>
        <v>0</v>
      </c>
      <c r="Q31" s="1119">
        <f t="shared" si="18"/>
        <v>461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1284</v>
      </c>
      <c r="AC31" s="1118">
        <f t="shared" si="19"/>
        <v>299</v>
      </c>
      <c r="AD31" s="1118">
        <f t="shared" si="19"/>
        <v>0</v>
      </c>
      <c r="AE31" s="1118">
        <f t="shared" si="19"/>
        <v>0</v>
      </c>
      <c r="AF31" s="1125">
        <f t="shared" si="19"/>
        <v>1858</v>
      </c>
      <c r="AG31" s="1125">
        <f t="shared" si="19"/>
        <v>0</v>
      </c>
      <c r="AH31" s="1125">
        <f t="shared" si="19"/>
        <v>215</v>
      </c>
      <c r="AI31" s="1125">
        <f t="shared" si="19"/>
        <v>0</v>
      </c>
      <c r="AJ31" s="1118">
        <f t="shared" si="19"/>
        <v>0</v>
      </c>
      <c r="AK31" s="1125">
        <f t="shared" si="19"/>
        <v>0</v>
      </c>
      <c r="AL31" s="1125">
        <f t="shared" si="19"/>
        <v>0</v>
      </c>
      <c r="AM31" s="1125">
        <f t="shared" si="19"/>
        <v>5951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683</v>
      </c>
      <c r="BD31" s="1117">
        <f t="shared" si="19"/>
        <v>1181</v>
      </c>
      <c r="BE31" s="1117">
        <f t="shared" si="19"/>
        <v>0</v>
      </c>
      <c r="BF31" s="1127">
        <f t="shared" si="19"/>
        <v>0</v>
      </c>
      <c r="BG31" s="1223">
        <f>IF(ISNUMBER(Datos!K31/Datos!J31),Datos!K31/Datos!J31," - ")</f>
        <v>0.92086599477416942</v>
      </c>
      <c r="BH31" s="1223">
        <f>IF(ISNUMBER(((Datos!L31/Datos!K31)*11)/factor_trimestre),((Datos!L31/Datos!K31)*11)/factor_trimestre," - ")</f>
        <v>4.0916092419943251</v>
      </c>
      <c r="BI31" s="1103">
        <f>IF(ISNUMBER(Datos!J31/Datos!I31),Datos!J31/Datos!I31," - ")</f>
        <v>0.55339805825242716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-0.87585266030013642</v>
      </c>
      <c r="BM31" s="1188">
        <f>IF(ISNUMBER((Datos!P31-Datos!Q31+R31)/(Datos!R31-Datos!P31+Datos!Q31-R31)),(Datos!P31-Datos!Q31+R31)/(Datos!R31-Datos!P31+Datos!Q31-R31)," - ")</f>
        <v>2.7984107790637414E-2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730.86104470457758</v>
      </c>
      <c r="G33" s="674">
        <f>IF(ISNUMBER(STDEV(G8:G30)),STDEV(G8:G30),"-")</f>
        <v>709.57609746611263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565.88203381135565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224.12608058858299</v>
      </c>
      <c r="BD33" s="673"/>
      <c r="BE33" s="673">
        <f>IF(ISNUMBER(STDEV(BE8:BE30)),STDEV(BE8:BE30),"-")</f>
        <v>0</v>
      </c>
      <c r="BF33" s="678">
        <f>IF(ISNUMBER(STDEV(BF8:BF30)),STDEV(BF8:BF30),"-")</f>
        <v>0</v>
      </c>
      <c r="BG33" s="1052">
        <f>IF(ISNUMBER(STDEV(BG8:BG30)),STDEV(BG8:BG30),"-")</f>
        <v>0.21293760917175583</v>
      </c>
      <c r="BH33" s="1058">
        <f>IF(ISNUMBER(STDEV(BH8:BH30)),STDEV(BH8:BH30),"-")</f>
        <v>2.0380738395047571</v>
      </c>
      <c r="BI33" s="273">
        <f>IF(ISNUMBER(STDEV(BI8:BI30)),STDEV(BI8:BI30),"-")</f>
        <v>0.11831048687514573</v>
      </c>
      <c r="BJ33" s="244" t="str">
        <f>IF(ISNUMBER(BL33/BM33),BL33/BM33," - ")</f>
        <v xml:space="preserve"> - </v>
      </c>
      <c r="BK33" s="709"/>
      <c r="BL33" s="681">
        <f>IF(ISNUMBER(STDEV(BL8:BL30)),STDEV(BL8:BL30),"-")</f>
        <v>0.33595124183386493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1bfF2L4ttj9E+IW7rIiZsP4SiUu5f+uJPhf444w1OYRCfu8JARghyTR5LS/lxf1naBpHVDXwXKUjpku4ivLNg==" saltValue="KztYyaJLz9TMHhDM/IXU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CACERES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2</v>
      </c>
      <c r="AA10" s="551">
        <f>IF(ISNUMBER(Datos!L10),Datos!L10,"-")</f>
        <v>50</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3</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7.1428571428571423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251</v>
      </c>
      <c r="AA12" s="551" t="str">
        <f>IF(ISNUMBER(IF(J_V="SI",Datos!L12,Datos!L12+Datos!AB12)-IF(Monitorios="SI",Datos!CD12,0)),
                          IF(J_V="SI",Datos!L12,Datos!L12+Datos!AB12)-IF(Monitorios="SI",Datos!CD12,0),
                          " - ")</f>
        <v xml:space="preserve"> - </v>
      </c>
      <c r="AB12" s="549"/>
      <c r="AC12" s="549"/>
      <c r="AD12" s="563"/>
      <c r="AE12" s="563">
        <f>IF(ISNUMBER(Datos!R12),Datos!R12," - ")</f>
        <v>5660</v>
      </c>
      <c r="AF12" s="693" t="str">
        <f>IF(ISNUMBER(Datos!BV12),Datos!BV12," - ")</f>
        <v xml:space="preserve"> - </v>
      </c>
      <c r="AG12" s="552" t="str">
        <f>IF(ISNUMBER(Datos!DV12),Datos!DV12," - ")</f>
        <v xml:space="preserve"> - </v>
      </c>
      <c r="AH12" s="553"/>
      <c r="AI12" s="554"/>
      <c r="AJ12" s="552">
        <f>IF(ISNUMBER(Datos!M12),Datos!M12," - ")</f>
        <v>517</v>
      </c>
      <c r="AK12" s="693">
        <f>IF(ISNUMBER(Datos!N12),Datos!N12," - ")</f>
        <v>415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4.9512727272727277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2.4805359406119862E-2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398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253</v>
      </c>
      <c r="AA14" s="1199">
        <f t="shared" si="3"/>
        <v>50</v>
      </c>
      <c r="AB14" s="1199">
        <f t="shared" si="3"/>
        <v>0</v>
      </c>
      <c r="AC14" s="1199">
        <f t="shared" si="3"/>
        <v>0</v>
      </c>
      <c r="AD14" s="1199">
        <f t="shared" si="3"/>
        <v>0</v>
      </c>
      <c r="AE14" s="1199">
        <f t="shared" si="3"/>
        <v>5676</v>
      </c>
      <c r="AF14" s="1211">
        <f t="shared" si="3"/>
        <v>0</v>
      </c>
      <c r="AG14" s="1211">
        <f t="shared" si="3"/>
        <v>0</v>
      </c>
      <c r="AH14" s="1211">
        <f t="shared" si="3"/>
        <v>0</v>
      </c>
      <c r="AI14" s="1211">
        <f t="shared" si="3"/>
        <v>0</v>
      </c>
      <c r="AJ14" s="1211">
        <f t="shared" si="3"/>
        <v>520</v>
      </c>
      <c r="AK14" s="1211">
        <f t="shared" si="3"/>
        <v>423</v>
      </c>
      <c r="AL14" s="1211">
        <f t="shared" si="3"/>
        <v>0</v>
      </c>
      <c r="AM14" s="1211">
        <f t="shared" si="3"/>
        <v>0</v>
      </c>
      <c r="AN14" s="1211">
        <f t="shared" si="3"/>
        <v>0</v>
      </c>
      <c r="AO14" s="1203">
        <f>IF(ISNUMBER(((NºAsuntos!I14/NºAsuntos!G14)*11)/factor_trimestre),((NºAsuntos!I14/NºAsuntos!G14)*11)/factor_trimestre," - ")</f>
        <v>4.9733621310295177</v>
      </c>
      <c r="AP14" s="1213" t="str">
        <f>IF(ISNUMBER(Datos!CI14/Datos!CJ14),Datos!CI14/Datos!CJ14," - ")</f>
        <v xml:space="preserve"> - </v>
      </c>
      <c r="AQ14" s="1236">
        <f t="shared" ref="AQ14:AV14" si="4">SUBTOTAL(9,AQ9:AQ13)</f>
        <v>0</v>
      </c>
      <c r="AR14" s="1236">
        <f t="shared" si="4"/>
        <v>1.0248053594061199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1432</v>
      </c>
      <c r="G17" s="552">
        <f>IF(ISNUMBER(IF(D_I="SI",Datos!I17,Datos!I17+Datos!AC17)),IF(D_I="SI",Datos!I17,Datos!I17+Datos!AC17)," - ")</f>
        <v>1427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1106</v>
      </c>
      <c r="Z17" s="805">
        <f>IF(ISNUMBER(Datos!Q17),Datos!Q17," - ")</f>
        <v>43</v>
      </c>
      <c r="AA17" s="551">
        <f>IF(ISNUMBER(IF(D_I="SI",Datos!L17,Datos!L17+Datos!AF17)),IF(D_I="SI",Datos!L17,Datos!L17+Datos!AF17)," - ")</f>
        <v>1679</v>
      </c>
      <c r="AB17" s="549"/>
      <c r="AC17" s="549"/>
      <c r="AD17" s="563"/>
      <c r="AE17" s="563">
        <f>IF(ISNUMBER(Datos!R17),Datos!R17," - ")</f>
        <v>263</v>
      </c>
      <c r="AF17" s="693" t="str">
        <f>IF(ISNUMBER(Datos!BV17),Datos!BV17," - ")</f>
        <v xml:space="preserve"> - </v>
      </c>
      <c r="AG17" s="552"/>
      <c r="AH17" s="553"/>
      <c r="AI17" s="554"/>
      <c r="AJ17" s="552">
        <f>IF(ISNUMBER(Datos!M17),Datos!M17," - ")</f>
        <v>142</v>
      </c>
      <c r="AK17" s="693">
        <f>IF(ISNUMBER(Datos!N17),Datos!N17," - ")</f>
        <v>685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3.0361663652802893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164</v>
      </c>
      <c r="Z18" s="805">
        <f>IF(ISNUMBER(Datos!Q18),Datos!Q18," - ")</f>
        <v>3</v>
      </c>
      <c r="AA18" s="551">
        <f>IF(ISNUMBER(Datos!L18),Datos!L18,"-")</f>
        <v>129</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21</v>
      </c>
      <c r="AK18" s="693">
        <f>IF(ISNUMBER(Datos!N18),Datos!N18," - ")</f>
        <v>73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1.5731707317073171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1432</v>
      </c>
      <c r="G23" s="1197">
        <f>SUBTOTAL(9,G16:G22)</f>
        <v>1549</v>
      </c>
      <c r="H23" s="1240">
        <f>SUBTOTAL(9,H16:H22)</f>
        <v>0</v>
      </c>
      <c r="I23" s="1217">
        <f>SUBTOTAL(9,I16:I22)</f>
        <v>0</v>
      </c>
      <c r="J23" s="1164">
        <f>SUBTOTAL(9,J15:J22)</f>
        <v>0</v>
      </c>
      <c r="K23" s="1240">
        <f t="shared" ref="K23:S23" si="5">SUBTOTAL(9,K16:K22)</f>
        <v>0</v>
      </c>
      <c r="L23" s="1240">
        <f t="shared" si="5"/>
        <v>0</v>
      </c>
      <c r="M23" s="1240">
        <f t="shared" si="5"/>
        <v>0</v>
      </c>
      <c r="N23" s="1240">
        <f t="shared" si="5"/>
        <v>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1270</v>
      </c>
      <c r="Z23" s="1240">
        <f t="shared" si="6"/>
        <v>46</v>
      </c>
      <c r="AA23" s="1240">
        <f t="shared" si="6"/>
        <v>1808</v>
      </c>
      <c r="AB23" s="1240">
        <f t="shared" si="6"/>
        <v>0</v>
      </c>
      <c r="AC23" s="1240">
        <f t="shared" si="6"/>
        <v>0</v>
      </c>
      <c r="AD23" s="1240">
        <f t="shared" si="6"/>
        <v>0</v>
      </c>
      <c r="AE23" s="1240">
        <f t="shared" si="6"/>
        <v>275</v>
      </c>
      <c r="AF23" s="1240">
        <f t="shared" si="6"/>
        <v>0</v>
      </c>
      <c r="AG23" s="1240">
        <f t="shared" si="6"/>
        <v>0</v>
      </c>
      <c r="AH23" s="1240">
        <f t="shared" si="6"/>
        <v>0</v>
      </c>
      <c r="AI23" s="1240">
        <f t="shared" si="6"/>
        <v>0</v>
      </c>
      <c r="AJ23" s="1240">
        <f t="shared" si="6"/>
        <v>163</v>
      </c>
      <c r="AK23" s="1240">
        <f t="shared" si="6"/>
        <v>758</v>
      </c>
      <c r="AL23" s="1240">
        <f t="shared" si="6"/>
        <v>0</v>
      </c>
      <c r="AM23" s="1240">
        <f t="shared" si="6"/>
        <v>0</v>
      </c>
      <c r="AN23" s="1240">
        <f t="shared" si="6"/>
        <v>0</v>
      </c>
      <c r="AO23" s="1242">
        <f>IF(ISNUMBER(((NºAsuntos!I23/NºAsuntos!G23)*11)/factor_trimestre),((NºAsuntos!I23/NºAsuntos!G23)*11)/factor_trimestre," - ")</f>
        <v>2.8472440944881892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1466</v>
      </c>
      <c r="G31" s="1117">
        <f t="shared" si="12"/>
        <v>1583</v>
      </c>
      <c r="H31" s="1118">
        <f t="shared" si="12"/>
        <v>0</v>
      </c>
      <c r="I31" s="1117">
        <f t="shared" si="12"/>
        <v>0</v>
      </c>
      <c r="J31" s="1119">
        <f t="shared" si="12"/>
        <v>0</v>
      </c>
      <c r="K31" s="1117">
        <f t="shared" si="12"/>
        <v>0</v>
      </c>
      <c r="L31" s="1120">
        <f t="shared" si="12"/>
        <v>0</v>
      </c>
      <c r="M31" s="1117">
        <f t="shared" si="12"/>
        <v>0</v>
      </c>
      <c r="N31" s="1118">
        <f t="shared" si="12"/>
        <v>461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1284</v>
      </c>
      <c r="Z31" s="1124">
        <f t="shared" si="13"/>
        <v>299</v>
      </c>
      <c r="AA31" s="1125">
        <f t="shared" si="13"/>
        <v>1858</v>
      </c>
      <c r="AB31" s="1125">
        <f t="shared" si="13"/>
        <v>0</v>
      </c>
      <c r="AC31" s="1125">
        <f t="shared" si="13"/>
        <v>0</v>
      </c>
      <c r="AD31" s="1126">
        <f t="shared" si="13"/>
        <v>0</v>
      </c>
      <c r="AE31" s="1126">
        <f t="shared" si="13"/>
        <v>5951</v>
      </c>
      <c r="AF31" s="1127">
        <f t="shared" si="13"/>
        <v>0</v>
      </c>
      <c r="AG31" s="1128">
        <f t="shared" si="13"/>
        <v>0</v>
      </c>
      <c r="AH31" s="1129">
        <f t="shared" si="13"/>
        <v>0</v>
      </c>
      <c r="AI31" s="1127">
        <f t="shared" si="13"/>
        <v>0</v>
      </c>
      <c r="AJ31" s="1117">
        <f t="shared" si="13"/>
        <v>683</v>
      </c>
      <c r="AK31" s="1117">
        <f t="shared" si="13"/>
        <v>1181</v>
      </c>
      <c r="AL31" s="1117">
        <f t="shared" si="13"/>
        <v>0</v>
      </c>
      <c r="AM31" s="1130">
        <f t="shared" si="13"/>
        <v>0</v>
      </c>
      <c r="AN31" s="1120">
        <f>IF(ISNUMBER(Datos!K31/Datos!J31),Datos!K31/Datos!J31," - ")</f>
        <v>0.92086599477416942</v>
      </c>
      <c r="AO31" s="1120">
        <f>IF(ISNUMBER(FIND("06",Criterios!A8,1)),(IF(ISNUMBER(((Datos!R31/Datos!Q31)*11)/factor_trimestre),((Datos!R31/Datos!Q31)*11)/factor_trimestre," - ")),(IF(ISNUMBER(((Datos!L31/Datos!K31)*11)/factor_trimestre),((Datos!L31/Datos!K31)*11)/factor_trimestre," - ")))</f>
        <v>4.0916092419943251</v>
      </c>
      <c r="AP31" s="1131" t="str">
        <f>IF(ISNUMBER(Datos!CI31/Datos!CJ31),Datos!CI31/Datos!CJ31," - ")</f>
        <v xml:space="preserve"> - </v>
      </c>
      <c r="AQ31" s="1131">
        <f>IF(OR(ISNUMBER(FIND("01",Criterios!A8,1)),ISNUMBER(FIND("02",Criterios!A8,1)),ISNUMBER(FIND("03",Criterios!A8,1)),ISNUMBER(FIND("04",Criterios!A8,1))),(J31-Y31+K31)/(F31-K31),(I31-Y31+K31)/(F31-K31))</f>
        <v>-0.87585266030013642</v>
      </c>
      <c r="AR31" s="1131">
        <f>IF(ISNUMBER((Datos!P31-Datos!Q31+O31)/(Datos!R31-Datos!P31+Datos!Q31-O31)),(Datos!P31-Datos!Q31+O31)/(Datos!R31-Datos!P31+Datos!Q31-O31)," - ")</f>
        <v>2.7984107790637414E-2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730.86104470457758</v>
      </c>
      <c r="G33" s="674">
        <f>IF(ISNUMBER(STDEV(G8:G30)),STDEV(G8:G30),"-")</f>
        <v>709.57609746611263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224.12608058858299</v>
      </c>
      <c r="AK33" s="276"/>
      <c r="AL33" s="276">
        <f>IF(ISNUMBER(STDEV(AL8:AL30)),STDEV(AL8:AL30),"-")</f>
        <v>0</v>
      </c>
      <c r="AM33" s="278">
        <f>IF(ISNUMBER(STDEV(AM8:AM30)),STDEV(AM8:AM30),"-")</f>
        <v>0</v>
      </c>
      <c r="AN33" s="660">
        <f>IF(ISNUMBER(STDEV(AN8:AN30)),STDEV(AN8:AN30),"-")</f>
        <v>0</v>
      </c>
      <c r="AO33" s="661">
        <f>IF(ISNUMBER(STDEV(AO8:AO30)),STDEV(AO8:AO30),"-")</f>
        <v>1.99155471724287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9PTdaOJ559QDzRgm4WFT2rQk/Lhknxqflkz4AW3G65jmkQvlgMtIFdqpxuQb746Wu7VkaagdTFuxiVeFii5+w==" saltValue="21cFP0TPBy/IwFqmlIZS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gx5X6rvG1z4KDvomewnWuNFn4giibbTvzWM3KiCiLRbkYkW+9k1bYWCUwmU+HXgnyJZS8w2hQ6mVaMUbcvPJg==" saltValue="vatoDURVcLJcFCEVPlad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v2/1QU6TY3Ir7/Ktd2nf64gJ13TqSUf8YxcNE+EhXwOqLOGuQpsJvbyey3er9ajq+jLT7ZfDzK48qwquBK6DA==" saltValue="lEYd8SQwnAvXLnSqtRJN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CACERES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0.37437005039596832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0.26471960130813876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qHm8HsuPUE1Cot8mgA4wODoTApk080ipt5R1c3vuSe0XO7w6KPMVBmSyIHXgzstjeZumLYiAfZRJVj9ejz65g==" saltValue="KAPatL8INOKaMLR1o5bs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tUWq3BOlLEoKrgfHgqRDmlX0V/YP8/EncZxFzIu5rx3oAlJc228m+54QU1dgBChU3N4nmrn0HpZqHDgs895w==" saltValue="PMdWICRETSjOPVhI2Lu4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CACERES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34</v>
      </c>
      <c r="D10" s="452">
        <f>IF(ISNUMBER(C10/Datos!BH10),C10/Datos!BH10," - ")</f>
        <v>34</v>
      </c>
      <c r="E10" s="451">
        <f>IF(ISNUMBER(Datos!J10),Datos!J10," - ")</f>
        <v>30</v>
      </c>
      <c r="F10" s="452">
        <f>IF(ISNUMBER(E10/B10),E10/B10," - ")</f>
        <v>15</v>
      </c>
      <c r="G10" s="451">
        <f>IF(ISNUMBER(Datos!K10),Datos!K10," - ")</f>
        <v>14</v>
      </c>
      <c r="H10" s="452">
        <f>IF(ISNUMBER(G10/B10),G10/B10," - ")</f>
        <v>7</v>
      </c>
      <c r="I10" s="451">
        <f>IF(ISNUMBER(Datos!L10),Datos!L10," - ")</f>
        <v>50</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3460</v>
      </c>
      <c r="D12" s="452">
        <f>IF(ISNUMBER(C12/Datos!BH12),C12/Datos!BH12," - ")</f>
        <v>494.28571428571428</v>
      </c>
      <c r="E12" s="451">
        <f>IF(ISNUMBER(IF(J_V="SI",Datos!J12,Datos!J12+Datos!Z12)),IF(J_V="SI",Datos!J12,Datos!J12+Datos!Z12)," - ")</f>
        <v>1319</v>
      </c>
      <c r="F12" s="452">
        <f>IF(ISNUMBER(E12/B12),E12/B12," - ")</f>
        <v>188.42857142857142</v>
      </c>
      <c r="G12" s="451">
        <f>IF(ISNUMBER(IF(J_V="SI",Datos!K12,Datos!K12+Datos!AA12)),IF(J_V="SI",Datos!K12,Datos!K12+Datos!AA12)," - ")</f>
        <v>1375</v>
      </c>
      <c r="H12" s="452">
        <f>IF(ISNUMBER(G12/B12),G12/B12," - ")</f>
        <v>196.42857142857142</v>
      </c>
      <c r="I12" s="451">
        <f>IF(ISNUMBER(IF(J_V="SI",Datos!L12,Datos!L12+Datos!AB12)),IF(J_V="SI",Datos!L12,Datos!L12+Datos!AB12)," - ")</f>
        <v>3404</v>
      </c>
      <c r="J12" s="452">
        <f>IF(ISNUMBER(I12/B12),I12/B12," - ")</f>
        <v>486.28571428571428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3494</v>
      </c>
      <c r="D14" s="1147" t="str">
        <f>IF(ISNUMBER(C14/Datos!BI14),C14/Datos!BI14," - ")</f>
        <v xml:space="preserve"> - </v>
      </c>
      <c r="E14" s="1146">
        <f>SUBTOTAL(9,E8:E13)</f>
        <v>1349</v>
      </c>
      <c r="F14" s="1147">
        <f>IF(ISNUMBER(E14/B14),E14/B14," - ")</f>
        <v>168.625</v>
      </c>
      <c r="G14" s="1146">
        <f>SUBTOTAL(9,G8:G13)</f>
        <v>1389</v>
      </c>
      <c r="H14" s="1147">
        <f>IF(ISNUMBER(G14/B14),G14/B14," - ")</f>
        <v>173.625</v>
      </c>
      <c r="I14" s="1146">
        <f>SUBTOTAL(9,I8:I13)</f>
        <v>3454</v>
      </c>
      <c r="J14" s="1147">
        <f>IF(ISNUMBER(I14/B14),I14/B14," - ")</f>
        <v>431.75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1427</v>
      </c>
      <c r="D17" s="452">
        <f>IF(ISNUMBER(C17/Datos!BH17),C17/Datos!BH17," - ")</f>
        <v>203.85714285714286</v>
      </c>
      <c r="E17" s="451">
        <f>IF(ISNUMBER(IF(D_I="SI",Datos!J17,Datos!J17+Datos!AD17)),IF(D_I="SI",Datos!J17,Datos!J17+Datos!AD17)," - ")</f>
        <v>1353</v>
      </c>
      <c r="F17" s="452">
        <f>IF(ISNUMBER(E17/B17),E17/B17," - ")</f>
        <v>193.28571428571428</v>
      </c>
      <c r="G17" s="451">
        <f>IF(ISNUMBER(IF(D_I="SI",Datos!K17,Datos!K17+Datos!AE17)),IF(D_I="SI",Datos!K17,Datos!K17+Datos!AE17)," - ")</f>
        <v>1106</v>
      </c>
      <c r="H17" s="452">
        <f>IF(ISNUMBER(G17/B17),G17/B17," - ")</f>
        <v>158</v>
      </c>
      <c r="I17" s="451">
        <f>IF(ISNUMBER(IF(D_I="SI",Datos!L17,Datos!L17+Datos!AF17)),IF(D_I="SI",Datos!L17,Datos!L17+Datos!AF17)," - ")</f>
        <v>1679</v>
      </c>
      <c r="J17" s="452">
        <f>IF(ISNUMBER(I17/B17),I17/B17," - ")</f>
        <v>239.85714285714286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122</v>
      </c>
      <c r="D18" s="452">
        <f>IF(ISNUMBER(C18/Datos!BH18),C18/Datos!BH18," - ")</f>
        <v>122</v>
      </c>
      <c r="E18" s="451">
        <f>IF(ISNUMBER(IF(D_I="SI",Datos!J18,Datos!J18+Datos!AD18)),IF(D_I="SI",Datos!J18,Datos!J18+Datos!AD18)," - ")</f>
        <v>182</v>
      </c>
      <c r="F18" s="452">
        <f>IF(ISNUMBER(E18/B18),E18/B18," - ")</f>
        <v>91</v>
      </c>
      <c r="G18" s="451">
        <f>IF(ISNUMBER(IF(D_I="SI",Datos!K18,Datos!K18+Datos!AE18)),IF(D_I="SI",Datos!K18,Datos!K18+Datos!AE18)," - ")</f>
        <v>164</v>
      </c>
      <c r="H18" s="452">
        <f>IF(ISNUMBER(G18/B18),G18/B18," - ")</f>
        <v>82</v>
      </c>
      <c r="I18" s="451">
        <f>IF(ISNUMBER(IF(D_I="SI",Datos!L18,Datos!L18+Datos!AF18)),IF(D_I="SI",Datos!L18,Datos!L18+Datos!AF18)," - ")</f>
        <v>129</v>
      </c>
      <c r="J18" s="452">
        <f>IF(ISNUMBER(I18/B18),I18/B18," - ")</f>
        <v>64.5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1549</v>
      </c>
      <c r="D23" s="1147" t="str">
        <f>IF(ISNUMBER(C23/Datos!BI23),C23/Datos!BI23," - ")</f>
        <v xml:space="preserve"> - </v>
      </c>
      <c r="E23" s="1146">
        <f>SUBTOTAL(9,E15:E22)</f>
        <v>1535</v>
      </c>
      <c r="F23" s="1147">
        <f>IF(ISNUMBER(E23/B23),E23/B23," - ")</f>
        <v>191.875</v>
      </c>
      <c r="G23" s="1146">
        <f>SUBTOTAL(9,G15:G22)</f>
        <v>1270</v>
      </c>
      <c r="H23" s="1147">
        <f>IF(ISNUMBER(G23/B23),G23/B23," - ")</f>
        <v>158.75</v>
      </c>
      <c r="I23" s="1146">
        <f>SUBTOTAL(9,I15:I22)</f>
        <v>1808</v>
      </c>
      <c r="J23" s="1147">
        <f>IF(ISNUMBER(I23/B23),I23/B23," - ")</f>
        <v>226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5043</v>
      </c>
      <c r="D31" s="1085" t="str">
        <f>IF(ISNUMBER(C31/Datos!BI31),C31/Datos!BI31," - ")</f>
        <v xml:space="preserve"> - </v>
      </c>
      <c r="E31" s="1084">
        <f>SUBTOTAL(9,E9:E30)</f>
        <v>2884</v>
      </c>
      <c r="F31" s="1085">
        <f>IF(ISNUMBER(E31/B31),E31/B31," - ")</f>
        <v>360.5</v>
      </c>
      <c r="G31" s="1084">
        <f>SUBTOTAL(9,G9:G30)</f>
        <v>2659</v>
      </c>
      <c r="H31" s="1085">
        <f>IF(ISNUMBER(G31/B31),G31/B31," - ")</f>
        <v>332.375</v>
      </c>
      <c r="I31" s="1084">
        <f>SUBTOTAL(9,I9:I30)</f>
        <v>5262</v>
      </c>
      <c r="J31" s="1085">
        <f>IF(ISNUMBER(I31/B31),I31/B31," - ")</f>
        <v>657.75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7Y351LybgVErCzGclFYLJC/aBuNg+LB45voUpeav/ZyIZmpn2PH817mLlwvjtZV1ywTDLEDj2Fz5DOXPek8lQ==" saltValue="gIwTte7wjzS3fhS9Wkin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CACERES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7.1428571428571423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517</v>
      </c>
      <c r="AM12" s="914">
        <f>IF(ISNUMBER(Datos!N12+DatosP!N17),Datos!N12+DatosP!N17," - ")</f>
        <v>415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4.9512727272727277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2.4805359406119862E-2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398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251</v>
      </c>
      <c r="AE14" s="1257">
        <f t="shared" si="1"/>
        <v>0</v>
      </c>
      <c r="AF14" s="1257">
        <f t="shared" si="1"/>
        <v>50</v>
      </c>
      <c r="AG14" s="1257">
        <f t="shared" si="1"/>
        <v>0</v>
      </c>
      <c r="AH14" s="1257">
        <f t="shared" si="1"/>
        <v>5660</v>
      </c>
      <c r="AI14" s="1257">
        <f t="shared" si="1"/>
        <v>0</v>
      </c>
      <c r="AJ14" s="1257">
        <f t="shared" si="1"/>
        <v>0</v>
      </c>
      <c r="AK14" s="1257">
        <f t="shared" si="1"/>
        <v>0</v>
      </c>
      <c r="AL14" s="1257">
        <f t="shared" si="1"/>
        <v>520</v>
      </c>
      <c r="AM14" s="1257">
        <f t="shared" si="1"/>
        <v>423</v>
      </c>
      <c r="AN14" s="1257">
        <f t="shared" si="1"/>
        <v>0</v>
      </c>
      <c r="AO14" s="1257">
        <f t="shared" si="1"/>
        <v>0</v>
      </c>
      <c r="AP14" s="1262">
        <f>IF(ISNUMBER(((Datos!L14/Datos!K14)*11)/factor_trimestre),((Datos!L14/Datos!K14)*11)/factor_trimestre," - ")</f>
        <v>5.4118629908103593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-0.41176470588235292</v>
      </c>
      <c r="AU14" s="1257" t="str">
        <f>IF(ISNUMBER((DatosP!#REF!-DatosP!#REF!+DatosP!#REF!)/(DatosP!#REF!+DatosP!#REF!-DatosP!#REF!-DatosP!#REF!)),(DatosP!#REF!-DatosP!#REF!+DatosP!#REF!)/(DatosP!#REF!+DatosP!#REF!-DatosP!#REF!-DatosP!#REF!)," - ")</f>
        <v xml:space="preserve"> - </v>
      </c>
      <c r="AV14" s="1263">
        <f>SUBTOTAL(9,AV9:AV13)</f>
        <v>2.4805359406119862E-2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2.8472440944881892</v>
      </c>
      <c r="AQ23" s="1262">
        <f>IF(ISNUMBER(((Datos!M23/Datos!L23)*11)/factor_trimestre),((Datos!M23/Datos!L23)*11)/factor_trimestre," - ")</f>
        <v>0.18030973451327434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6.589147286821706E-2</v>
      </c>
      <c r="AW23" s="1265">
        <f>IF(ISNUMBER((Datos!Q23-Datos!R23)/(Datos!S23-Datos!Q23+Datos!R23)),(Datos!Q23-Datos!R23)/(Datos!S23-Datos!Q23+Datos!R23)," - ")</f>
        <v>-0.11331024245423058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398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251</v>
      </c>
      <c r="AE31" s="1284">
        <f t="shared" si="9"/>
        <v>0</v>
      </c>
      <c r="AF31" s="1285">
        <f t="shared" si="9"/>
        <v>50</v>
      </c>
      <c r="AG31" s="1285">
        <f t="shared" si="9"/>
        <v>0</v>
      </c>
      <c r="AH31" s="1285">
        <f t="shared" si="9"/>
        <v>5660</v>
      </c>
      <c r="AI31" s="1285">
        <f t="shared" si="9"/>
        <v>0</v>
      </c>
      <c r="AJ31" s="1286">
        <f t="shared" si="9"/>
        <v>0</v>
      </c>
      <c r="AK31" s="1286">
        <f t="shared" si="9"/>
        <v>0</v>
      </c>
      <c r="AL31" s="1278">
        <f t="shared" si="9"/>
        <v>520</v>
      </c>
      <c r="AM31" s="1278">
        <f t="shared" si="9"/>
        <v>423</v>
      </c>
      <c r="AN31" s="1278">
        <f t="shared" si="9"/>
        <v>0</v>
      </c>
      <c r="AO31" s="1278">
        <f t="shared" si="9"/>
        <v>0</v>
      </c>
      <c r="AP31" s="1278">
        <f>IF(ISNUMBER(((Datos!L31/Datos!K31)*11)/factor_trimestre),((Datos!L31/Datos!K31)*11)/factor_trimestre," - ")</f>
        <v>4.0916092419943251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-0.41176470588235292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2.7984107790637414E-2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267.36915803186179</v>
      </c>
      <c r="AM33" s="1006"/>
      <c r="AN33" s="1006">
        <f>IF(ISNUMBER(STDEV(AN8:AN30)),STDEV(AN8:AN30),"-")</f>
        <v>0</v>
      </c>
      <c r="AO33" s="1012">
        <f>IF(ISNUMBER(STDEV(AO8:AO30)),STDEV(AO8:AO30),"-")</f>
        <v>0</v>
      </c>
      <c r="AP33" s="1065">
        <f>IF(ISNUMBER(STDEV(AP8:AP30)),STDEV(AP8:AP30),"-")</f>
        <v>1.7670131207819293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J2e5+O25EL4ZoFiP2uWYP/fVbRJkB9y/Cg8VZ60Sl01f2Df0RumVXHVnORBk/lc0XQDcAUKMKbfOQveCGVfcA==" saltValue="eCOB4lY327xvhBJ4qpVs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CACERES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U0TboaQ9F6HDFSyZj77N7E9kD/wbBDw7Z6ijH8DcD/vQejwi4nq92UBpOZajOD1UW5NGIg3YkrmeVecYEAWpw==" saltValue="bd2pw9qjLTtGbormG0KF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CACERES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3</v>
      </c>
      <c r="E10" s="452">
        <f>IF(ISNUMBER(D10/B10),D10/B10," - ")</f>
        <v>1.5</v>
      </c>
      <c r="F10" s="451">
        <f>IF(ISNUMBER(Datos!N10),Datos!N10," - ")</f>
        <v>8</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517</v>
      </c>
      <c r="E12" s="452">
        <f t="shared" si="0"/>
        <v>73.857142857142861</v>
      </c>
      <c r="F12" s="451">
        <f>IF(ISNUMBER(Datos!N12),Datos!N12," - ")</f>
        <v>415</v>
      </c>
      <c r="G12" s="452">
        <f t="shared" si="1"/>
        <v>59.285714285714285</v>
      </c>
      <c r="H12" s="451">
        <f>IF(ISNUMBER(Datos!O12),Datos!O12," - ")</f>
        <v>512</v>
      </c>
      <c r="I12" s="452">
        <f t="shared" si="2"/>
        <v>73.142857142857139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520</v>
      </c>
      <c r="E14" s="1147">
        <f t="shared" si="0"/>
        <v>57.777777777777779</v>
      </c>
      <c r="F14" s="1146">
        <f>SUBTOTAL(9,F9:F13)</f>
        <v>423</v>
      </c>
      <c r="G14" s="1147">
        <f t="shared" si="1"/>
        <v>47</v>
      </c>
      <c r="H14" s="1146">
        <f>SUBTOTAL(9,H9:H13)</f>
        <v>512</v>
      </c>
      <c r="I14" s="1147">
        <f>IF(ISNUMBER(H14/B14),H14/B14," - ")</f>
        <v>56.888888888888886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142</v>
      </c>
      <c r="E17" s="452">
        <f t="shared" si="3"/>
        <v>20.285714285714285</v>
      </c>
      <c r="F17" s="451">
        <f>IF(ISNUMBER(Datos!N17),Datos!N17," - ")</f>
        <v>685</v>
      </c>
      <c r="G17" s="452">
        <f t="shared" si="4"/>
        <v>97.857142857142861</v>
      </c>
      <c r="H17" s="451">
        <f>IF(ISNUMBER(Datos!O17),Datos!O17," - ")</f>
        <v>5</v>
      </c>
      <c r="I17" s="452">
        <f t="shared" si="5"/>
        <v>0.7142857142857143</v>
      </c>
    </row>
    <row r="18" spans="1:9">
      <c r="A18" s="450" t="str">
        <f>Datos!A18</f>
        <v>Jdos. Violencia contra la mujer</v>
      </c>
      <c r="B18" s="480">
        <f>Datos!AO18</f>
        <v>2</v>
      </c>
      <c r="C18" s="481">
        <f>Datos!AQ18</f>
        <v>1</v>
      </c>
      <c r="D18" s="451">
        <f>IF(ISNUMBER(Datos!M18),Datos!M18," - ")</f>
        <v>21</v>
      </c>
      <c r="E18" s="452">
        <f>IF(ISNUMBER(D18/B18),D18/B18," - ")</f>
        <v>10.5</v>
      </c>
      <c r="F18" s="451">
        <f>IF(ISNUMBER(Datos!N18),Datos!N18," - ")</f>
        <v>73</v>
      </c>
      <c r="G18" s="452">
        <f>IF(ISNUMBER(F18/B18),F18/B18," - ")</f>
        <v>36.5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163</v>
      </c>
      <c r="E23" s="1147">
        <f t="shared" si="3"/>
        <v>18.111111111111111</v>
      </c>
      <c r="F23" s="1146">
        <f>SUBTOTAL(9,F16:F22)</f>
        <v>758</v>
      </c>
      <c r="G23" s="1147">
        <f t="shared" si="4"/>
        <v>84.222222222222229</v>
      </c>
      <c r="H23" s="1146">
        <f>SUBTOTAL(9,H16:H22)</f>
        <v>5</v>
      </c>
      <c r="I23" s="1147">
        <f>IF(ISNUMBER(H23/B23),H23/B23," - ")</f>
        <v>0.55555555555555558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683</v>
      </c>
      <c r="E31" s="1085">
        <f>IF(ISNUMBER(D31/B31),D31/B31," - ")</f>
        <v>85.375</v>
      </c>
      <c r="F31" s="1084">
        <f>SUBTOTAL(9,F8:F30)</f>
        <v>1181</v>
      </c>
      <c r="G31" s="1085">
        <f>IF(ISNUMBER(F31/B31),F31/B31," - ")</f>
        <v>147.625</v>
      </c>
      <c r="H31" s="1084">
        <f>SUBTOTAL(9,H8:H30)</f>
        <v>517</v>
      </c>
      <c r="I31" s="1085">
        <f>IF(ISNUMBER(H31/B31),H31/B31," - ")</f>
        <v>64.625</v>
      </c>
    </row>
    <row r="34" spans="1:1">
      <c r="A34" s="439" t="str">
        <f>Criterios!A4</f>
        <v>Fecha Informe: 06 may. 2023</v>
      </c>
    </row>
    <row r="39" spans="1:1">
      <c r="A39" s="462"/>
    </row>
  </sheetData>
  <sheetProtection algorithmName="SHA-512" hashValue="ZycOB3P2Ln3tL1yphOBE0do4xjC1XwuMLkm0RR59tcnKJX67gCFWdt6gLalmkm8fI4NawLN4pwQ+3anXX3JpKg==" saltValue="RBDLBZKfkTzTPKtLnaPa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CACERES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10</v>
      </c>
      <c r="C10" s="489">
        <f>IF(ISNUMBER(Datos!Q10),Datos!Q10," - ")</f>
        <v>2</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388</v>
      </c>
      <c r="C12" s="489">
        <f>IF(ISNUMBER(Datos!Q12),Datos!Q12," - ")</f>
        <v>251</v>
      </c>
      <c r="D12" s="456">
        <f>IF(ISNUMBER(Datos!R12),Datos!R12," - ")</f>
        <v>5660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398</v>
      </c>
      <c r="C14" s="1150">
        <f>SUBTOTAL(9,C9:C13)</f>
        <v>253</v>
      </c>
      <c r="D14" s="1148">
        <f>SUBTOTAL(9,D9:D13)</f>
        <v>5676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59</v>
      </c>
      <c r="C17" s="489">
        <f>IF(ISNUMBER(Datos!Q17),Datos!Q17," - ")</f>
        <v>43</v>
      </c>
      <c r="D17" s="456">
        <f>IF(ISNUMBER(Datos!R17),Datos!R17," - ")</f>
        <v>263</v>
      </c>
    </row>
    <row r="18" spans="1:4">
      <c r="A18" s="450" t="str">
        <f>Datos!A18</f>
        <v>Jdos. Violencia contra la mujer</v>
      </c>
      <c r="B18" s="488">
        <f>IF(ISNUMBER(Datos!P18),Datos!P18," - ")</f>
        <v>4</v>
      </c>
      <c r="C18" s="489">
        <f>IF(ISNUMBER(Datos!Q18),Datos!Q18," - ")</f>
        <v>3</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63</v>
      </c>
      <c r="C23" s="1150">
        <f>SUBTOTAL(9,C16:C22)</f>
        <v>46</v>
      </c>
      <c r="D23" s="1148">
        <f>SUBTOTAL(9,D16:D22)</f>
        <v>275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461</v>
      </c>
      <c r="C31" s="1089">
        <f>SUBTOTAL(9,C8:C30)</f>
        <v>299</v>
      </c>
      <c r="D31" s="1090">
        <f>SUBTOTAL(9,D8:D30)</f>
        <v>5951</v>
      </c>
    </row>
    <row r="32" spans="1:4" ht="7.5" customHeight="1"/>
    <row r="33" spans="1:1" ht="6" customHeight="1"/>
    <row r="34" spans="1:1">
      <c r="A34" s="439" t="str">
        <f>Criterios!A4</f>
        <v>Fecha Informe: 06 may. 2023</v>
      </c>
    </row>
    <row r="39" spans="1:1">
      <c r="A39" s="462"/>
    </row>
  </sheetData>
  <sheetProtection algorithmName="SHA-512" hashValue="0MD3018kOyN70jQ/CJPFGtoOX+4eD+AkUl8or2TYdd6xOzSr2S++zJVtf2H4jL1w6mwR8HSywM8GJh0AAExT8g==" saltValue="TTOSYIniG5DKk6FpAYAF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CACERES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6.25E-2</v>
      </c>
      <c r="C10" s="515">
        <f>IF(ISNUMBER((Datos!J10-Datos!T10)/Datos!T10),(Datos!J10-Datos!T10)/Datos!T10," - ")</f>
        <v>2.75</v>
      </c>
      <c r="D10" s="515">
        <f>IF(ISNUMBER((Datos!K10-Datos!U10)/Datos!U10),(Datos!K10-Datos!U10)/Datos!U10," - ")</f>
        <v>1.8</v>
      </c>
      <c r="E10" s="515">
        <f>IF(ISNUMBER((Datos!L10-Datos!V10)/Datos!V10),(Datos!L10-Datos!V10)/Datos!V10," - ")</f>
        <v>0.42857142857142855</v>
      </c>
      <c r="F10" s="515">
        <f>IF(ISNUMBER((Datos!M10-Datos!W10)/Datos!W10),(Datos!M10-Datos!W10)/Datos!W10," - ")</f>
        <v>2</v>
      </c>
      <c r="G10" s="516">
        <f>IF(ISNUMBER((Datos!N10-Datos!X10)/Datos!X10),(Datos!N10-Datos!X10)/Datos!X10," - ")</f>
        <v>7</v>
      </c>
      <c r="H10" s="514">
        <f>IF(ISNUMBER(((NºAsuntos!G10/NºAsuntos!E10)-Datos!BD10)/Datos!BD10),((NºAsuntos!G10/NºAsuntos!E10)-Datos!BD10)/Datos!BD10," - ")</f>
        <v>-0.2533333333333333</v>
      </c>
      <c r="I10" s="515">
        <f>IF(ISNUMBER(((NºAsuntos!I10/NºAsuntos!G10)-Datos!BE10)/Datos!BE10),((NºAsuntos!I10/NºAsuntos!G10)-Datos!BE10)/Datos!BE10," - ")</f>
        <v>-0.48979591836734693</v>
      </c>
      <c r="J10" s="521">
        <f>IF(ISNUMBER((('Resol  Asuntos'!D10/NºAsuntos!G10)-Datos!BF10)/Datos!BF10),(('Resol  Asuntos'!D10/NºAsuntos!G10)-Datos!BF10)/Datos!BF10," - ")</f>
        <v>7.1428571428571314E-2</v>
      </c>
      <c r="K10" s="522">
        <f>IF(ISNUMBER((((NºAsuntos!C10+NºAsuntos!E10)/NºAsuntos!G10)-Datos!BG10)/Datos!BG10),(((NºAsuntos!C10+NºAsuntos!E10)/NºAsuntos!G10)-Datos!BG10)/Datos!BG10," - ")</f>
        <v>-0.4285714285714286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-6.2584665402329986E-2</v>
      </c>
      <c r="C12" s="515">
        <f>IF(ISNUMBER(
   IF(J_V="SI",(Datos!J12-Datos!T12)/Datos!T12,(Datos!J12+Datos!Z12-(Datos!T12+Datos!AH12))/(Datos!T12+Datos!AH12))
     ),IF(J_V="SI",(Datos!J12-Datos!T12)/Datos!T12,(Datos!J12+Datos!Z12-(Datos!T12+Datos!AH12))/(Datos!T12+Datos!AH12))," - ")</f>
        <v>-1.6405667412378821E-2</v>
      </c>
      <c r="D12" s="515">
        <f>IF(ISNUMBER(
   IF(J_V="SI",(Datos!K12-Datos!U12)/Datos!U12,(Datos!K12+Datos!AA12-(Datos!U12+Datos!AI12))/(Datos!U12+Datos!AI12))
     ),IF(J_V="SI",(Datos!K12-Datos!U12)/Datos!U12,(Datos!K12+Datos!AA12-(Datos!U12+Datos!AI12))/(Datos!U12+Datos!AI12))," - ")</f>
        <v>1.55096011816839E-2</v>
      </c>
      <c r="E12" s="515">
        <f>IF(ISNUMBER(
   IF(J_V="SI",(Datos!L12-Datos!V12)/Datos!V12,(Datos!L12+Datos!AB12-(Datos!V12+Datos!AJ12))/(Datos!V12+Datos!AJ12))
     ),IF(J_V="SI",(Datos!L12-Datos!V12)/Datos!V12,(Datos!L12+Datos!AB12-(Datos!V12+Datos!AJ12))/(Datos!V12+Datos!AJ12))," - ")</f>
        <v>-7.4497009244154436E-2</v>
      </c>
      <c r="F12" s="515">
        <f>IF(ISNUMBER((Datos!M12-Datos!W12)/Datos!W12),(Datos!M12-Datos!W12)/Datos!W12," - ")</f>
        <v>2.3762376237623763E-2</v>
      </c>
      <c r="G12" s="516">
        <f>IF(ISNUMBER((Datos!N12-Datos!X12)/Datos!X12),(Datos!N12-Datos!X12)/Datos!X12," - ")</f>
        <v>0.16246498599439776</v>
      </c>
      <c r="H12" s="514">
        <f>IF(ISNUMBER(((NºAsuntos!G12/NºAsuntos!E12)-Datos!BD12)/Datos!BD12),((NºAsuntos!G12/NºAsuntos!E12)-Datos!BD12)/Datos!BD12," - ")</f>
        <v>3.2447593013372314E-2</v>
      </c>
      <c r="I12" s="515">
        <f>IF(ISNUMBER(((NºAsuntos!I12/NºAsuntos!G12)-Datos!BE12)/Datos!BE12),((NºAsuntos!I12/NºAsuntos!G12)-Datos!BE12)/Datos!BE12," - ")</f>
        <v>-8.8631964012061859E-2</v>
      </c>
      <c r="J12" s="521">
        <f>IF(ISNUMBER((('Resol  Asuntos'!D12/NºAsuntos!G12)-Datos!BF12)/Datos!BF12),(('Resol  Asuntos'!D12/NºAsuntos!G12)-Datos!BF12)/Datos!BF12," - ")</f>
        <v>0.42606162464985986</v>
      </c>
      <c r="K12" s="522">
        <f>IF(ISNUMBER((((NºAsuntos!C12+NºAsuntos!E12)/NºAsuntos!G12)-Datos!BG12)/Datos!BG12),(((NºAsuntos!C12+NºAsuntos!E12)/NºAsuntos!G12)-Datos!BG12)/Datos!BG12," - ")</f>
        <v>-6.4783061136002296E-2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-6.1509535320977707E-2</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2.2075055187637971E-2</v>
      </c>
      <c r="E14" s="1152">
        <f>IF(ISNUMBER(
   IF(J_V="SI",(Datos!L14-Datos!V14)/Datos!V14,(Datos!L14+Datos!AB14-(Datos!V14+Datos!AJ14))/(Datos!V14+Datos!AJ14))
     ),IF(J_V="SI",(Datos!L14-Datos!V14)/Datos!V14,(Datos!L14+Datos!AB14-(Datos!V14+Datos!AJ14))/(Datos!V14+Datos!AJ14))," - ")</f>
        <v>-6.9754915162941022E-2</v>
      </c>
      <c r="F14" s="1153">
        <f>IF(ISNUMBER((Datos!M14-Datos!W14)/Datos!W14),(Datos!M14-Datos!W14)/Datos!W14," - ")</f>
        <v>2.766798418972332E-2</v>
      </c>
      <c r="G14" s="1154">
        <f>IF(ISNUMBER((Datos!N14-Datos!X14)/Datos!X14),(Datos!N14-Datos!X14)/Datos!X14," - ")</f>
        <v>0.18156424581005587</v>
      </c>
      <c r="H14" s="1154">
        <f>IF(ISNUMBER(((NºAsuntos!G14/NºAsuntos!E14)-Datos!BD14)/Datos!BD14),((NºAsuntos!G14/NºAsuntos!E14)-Datos!BD14)/Datos!BD14," - ")</f>
        <v>2.2075055187638092E-2</v>
      </c>
      <c r="I14" s="1154">
        <f>IF(ISNUMBER(((NºAsuntos!I14/NºAsuntos!G14)-Datos!BE14)/Datos!BE14),((NºAsuntos!I14/NºAsuntos!G14)-Datos!BE14)/Datos!BE14," - ")</f>
        <v>-8.984660166050161E-2</v>
      </c>
      <c r="J14" s="1154">
        <f>IF(ISNUMBER((('Resol  Asuntos'!D14/NºAsuntos!G14)-Datos!BF14)/Datos!BF14),(('Resol  Asuntos'!D14/NºAsuntos!G14)-Datos!BF14)/Datos!BF14," - ")</f>
        <v>0.42114217454782393</v>
      </c>
      <c r="K14" s="1154">
        <f>IF(ISNUMBER((((NºAsuntos!C14+NºAsuntos!E14)/NºAsuntos!G14)-Datos!BG14)/Datos!BG14),(((NºAsuntos!C14+NºAsuntos!E14)/NºAsuntos!G14)-Datos!BG14)/Datos!BG14," - ")</f>
        <v>-6.5772955829148744E-2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-0.1566193853427896</v>
      </c>
      <c r="C17" s="515">
        <f>IF(ISNUMBER(
   IF(D_I="SI",(Datos!J17-Datos!T17)/Datos!T17,(Datos!J17+Datos!AD17-(Datos!T17+Datos!AL17))/(Datos!T17+Datos!AL17))
     ),IF(D_I="SI",(Datos!J17-Datos!T17)/Datos!T17,(Datos!J17+Datos!AD17-(Datos!T17+Datos!AL17))/(Datos!T17+Datos!AL17))," - ")</f>
        <v>0.13411567476948869</v>
      </c>
      <c r="D17" s="515">
        <f>IF(ISNUMBER(
   IF(D_I="SI",(Datos!K17-Datos!U17)/Datos!U17,(Datos!K17+Datos!AE17-(Datos!U17+Datos!AM17))/(Datos!U17+Datos!AM17))
     ),IF(D_I="SI",(Datos!K17-Datos!U17)/Datos!U17,(Datos!K17+Datos!AE17-(Datos!U17+Datos!AM17))/(Datos!U17+Datos!AM17))," - ")</f>
        <v>-0.10445344129554655</v>
      </c>
      <c r="E17" s="515">
        <f>IF(ISNUMBER(
   IF(D_I="SI",(Datos!L17-Datos!V17)/Datos!V17,(Datos!L17+Datos!AF17-(Datos!V17+Datos!AN17))/(Datos!V17+Datos!AN17))
     ),IF(D_I="SI",(Datos!L17-Datos!V17)/Datos!V17,(Datos!L17+Datos!AF17-(Datos!V17+Datos!AN17))/(Datos!V17+Datos!AN17))," - ")</f>
        <v>1.3277006638503319E-2</v>
      </c>
      <c r="F17" s="515">
        <f>IF(ISNUMBER((Datos!M17-Datos!W17)/Datos!W17),(Datos!M17-Datos!W17)/Datos!W17," - ")</f>
        <v>-0.1125</v>
      </c>
      <c r="G17" s="516">
        <f>IF(ISNUMBER((Datos!N17-Datos!X17)/Datos!X17),(Datos!N17-Datos!X17)/Datos!X17," - ")</f>
        <v>-0.1717049576783555</v>
      </c>
      <c r="H17" s="514">
        <f>IF(ISNUMBER(((NºAsuntos!G17/NºAsuntos!E17)-Datos!BD17)/Datos!BD17),((NºAsuntos!G17/NºAsuntos!E17)-Datos!BD17)/Datos!BD17," - ")</f>
        <v>-0.21035695156362683</v>
      </c>
      <c r="I17" s="515">
        <f>IF(ISNUMBER(((NºAsuntos!I17/NºAsuntos!G17)-Datos!BE17)/Datos!BE17),((NºAsuntos!I17/NºAsuntos!G17)-Datos!BE17)/Datos!BE17," - ")</f>
        <v>0.13146211862436846</v>
      </c>
      <c r="J17" s="521">
        <f>IF(ISNUMBER((('Resol  Asuntos'!D17/NºAsuntos!G17)-Datos!BF17)/Datos!BF17),(('Resol  Asuntos'!D17/NºAsuntos!G17)-Datos!BF17)/Datos!BF17," - ")</f>
        <v>-8.9850813743219352E-3</v>
      </c>
      <c r="K17" s="522">
        <f>IF(ISNUMBER((((NºAsuntos!C17+NºAsuntos!E17)/NºAsuntos!G17)-Datos!BG17)/Datos!BG17),(((NºAsuntos!C17+NºAsuntos!E17)/NºAsuntos!G17)-Datos!BG17)/Datos!BG17," - ")</f>
        <v>7.5996377095471163E-2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v>
      </c>
      <c r="C18" s="515">
        <f>IF(ISNUMBER(
   IF(D_I="SI",(Datos!J18-Datos!T18)/Datos!T18,(Datos!J18+Datos!AD18-(Datos!T18+Datos!AL18))/(Datos!T18+Datos!AL18))
     ),IF(D_I="SI",(Datos!J18-Datos!T18)/Datos!T18,(Datos!J18+Datos!AD18-(Datos!T18+Datos!AL18))/(Datos!T18+Datos!AL18))," - ")</f>
        <v>0.7009345794392523</v>
      </c>
      <c r="D18" s="515">
        <f>IF(ISNUMBER(
   IF(D_I="SI",(Datos!K18-Datos!U18)/Datos!U18,(Datos!K18+Datos!AE18-(Datos!U18+Datos!AM18))/(Datos!U18+Datos!AM18))
     ),IF(D_I="SI",(Datos!K18-Datos!U18)/Datos!U18,(Datos!K18+Datos!AE18-(Datos!U18+Datos!AM18))/(Datos!U18+Datos!AM18))," - ")</f>
        <v>0.74468085106382975</v>
      </c>
      <c r="E18" s="515">
        <f>IF(ISNUMBER(
   IF(D_I="SI",(Datos!L18-Datos!V18)/Datos!V18,(Datos!L18+Datos!AF18-(Datos!V18+Datos!AN18))/(Datos!V18+Datos!AN18))
     ),IF(D_I="SI",(Datos!L18-Datos!V18)/Datos!V18,(Datos!L18+Datos!AF18-(Datos!V18+Datos!AN18))/(Datos!V18+Datos!AN18))," - ")</f>
        <v>0.1415929203539823</v>
      </c>
      <c r="F18" s="515">
        <f>IF(ISNUMBER((Datos!M18-Datos!W18)/Datos!W18),(Datos!M18-Datos!W18)/Datos!W18," - ")</f>
        <v>0.61538461538461542</v>
      </c>
      <c r="G18" s="516">
        <f>IF(ISNUMBER((Datos!N18-Datos!X18)/Datos!X18),(Datos!N18-Datos!X18)/Datos!X18," - ")</f>
        <v>0.69767441860465118</v>
      </c>
      <c r="H18" s="514">
        <f>IF(ISNUMBER(((NºAsuntos!G18/NºAsuntos!E18)-Datos!BD18)/Datos!BD18),((NºAsuntos!G18/NºAsuntos!E18)-Datos!BD18)/Datos!BD18," - ")</f>
        <v>2.5718961889174691E-2</v>
      </c>
      <c r="I18" s="515">
        <f>IF(ISNUMBER(((NºAsuntos!I18/NºAsuntos!G18)-Datos!BE18)/Datos!BE18),((NºAsuntos!I18/NºAsuntos!G18)-Datos!BE18)/Datos!BE18," - ")</f>
        <v>-0.34567235052881501</v>
      </c>
      <c r="J18" s="521">
        <f>IF(ISNUMBER((('Resol  Asuntos'!D18/NºAsuntos!G18)-Datos!BF18)/Datos!BF18),(('Resol  Asuntos'!D18/NºAsuntos!G18)-Datos!BF18)/Datos!BF18," - ")</f>
        <v>-7.4108818011257058E-2</v>
      </c>
      <c r="K18" s="522">
        <f>IF(ISNUMBER((((NºAsuntos!C18+NºAsuntos!E18)/NºAsuntos!G18)-Datos!BG18)/Datos!BG18),(((NºAsuntos!C18+NºAsuntos!E18)/NºAsuntos!G18)-Datos!BG18)/Datos!BG18," - ")</f>
        <v>-0.15824201720278061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-0.13560267857142858</v>
      </c>
      <c r="C23" s="1152">
        <f>IF(ISNUMBER(
   IF(Criterios!B14="SI",(Datos!J23-Datos!T23)/Datos!T23,(Datos!J23+Datos!AD23-(Datos!T23+Datos!AL23))/(Datos!T23+Datos!AL23))
     ),IF(Criterios!B14="SI",(Datos!J23-Datos!T23)/Datos!T23,(Datos!J23+Datos!AD23-(Datos!T23+Datos!AL23))/(Datos!T23+Datos!AL23))," - ")</f>
        <v>0.18076923076923077</v>
      </c>
      <c r="D23" s="1152">
        <f>IF(ISNUMBER(
   IF(Criterios!B14="SI",(Datos!K23-Datos!U23)/Datos!U23,(Datos!K23+Datos!AE23-(Datos!U23+Datos!AM23))/(Datos!U23+Datos!AM23))
     ),IF(Criterios!B14="SI",(Datos!K23-Datos!U23)/Datos!U23,(Datos!K23+Datos!AE23-(Datos!U23+Datos!AM23))/(Datos!U23+Datos!AM23))," - ")</f>
        <v>-4.439428141459744E-2</v>
      </c>
      <c r="E23" s="1152">
        <f>IF(ISNUMBER(
   IF(Criterios!B14="SI",(Datos!L23-Datos!V23)/Datos!V23,(Datos!L23+Datos!AF23-(Datos!V23+Datos!AN23))/(Datos!V23+Datos!AN23))
     ),IF(Criterios!B14="SI",(Datos!L23-Datos!V23)/Datos!V23,(Datos!L23+Datos!AF23-(Datos!V23+Datos!AN23))/(Datos!V23+Datos!AN23))," - ")</f>
        <v>2.1468926553672316E-2</v>
      </c>
      <c r="F23" s="1153">
        <f>IF(ISNUMBER((Datos!M23-Datos!W23)/Datos!W23),(Datos!M23-Datos!W23)/Datos!W23," - ")</f>
        <v>-5.7803468208092484E-2</v>
      </c>
      <c r="G23" s="1154">
        <f>IF(ISNUMBER((Datos!N23-Datos!X23)/Datos!X23),(Datos!N23-Datos!X23)/Datos!X23," - ")</f>
        <v>-0.12873563218390804</v>
      </c>
      <c r="H23" s="1154">
        <f>IF(ISNUMBER(((NºAsuntos!G23/NºAsuntos!E23)-Datos!BD23)/Datos!BD23),((NºAsuntos!G23/NºAsuntos!E23)-Datos!BD23)/Datos!BD23," - ")</f>
        <v>-0.19069222530226496</v>
      </c>
      <c r="I23" s="1154">
        <f>IF(ISNUMBER(((NºAsuntos!I23/NºAsuntos!G23)-Datos!BE23)/Datos!BE23),((NºAsuntos!I23/NºAsuntos!G23)-Datos!BE23)/Datos!BE23," - ")</f>
        <v>6.8922994795142245E-2</v>
      </c>
      <c r="J23" s="1154">
        <f>IF(ISNUMBER((('Resol  Asuntos'!D23/NºAsuntos!G23)-Datos!BF23)/Datos!BF23),(('Resol  Asuntos'!D23/NºAsuntos!G23)-Datos!BF23)/Datos!BF23," - ")</f>
        <v>-1.403213326657868E-2</v>
      </c>
      <c r="K23" s="1154">
        <f>IF(ISNUMBER((((NºAsuntos!C23+NºAsuntos!E23)/NºAsuntos!G23)-Datos!BG23)/Datos!BG23),(((NºAsuntos!C23+NºAsuntos!E23)/NºAsuntos!G23)-Datos!BG23)/Datos!BG23," - ")</f>
        <v>4.3749172362510393E-2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-8.5584768812330014E-2</v>
      </c>
      <c r="C31" s="1092">
        <f>IF(ISNUMBER(
   IF(J_V="SI",(Datos!J31-Datos!T31)/Datos!T31,(Datos!J31+Datos!Z31-(Datos!T31+Datos!AH31))/(Datos!T31+Datos!AH31))
     ),IF(J_V="SI",(Datos!J31-Datos!T31)/Datos!T31,(Datos!J31+Datos!Z31-(Datos!T31+Datos!AH31))/(Datos!T31+Datos!AH31))," - ")</f>
        <v>8.8712721781804449E-2</v>
      </c>
      <c r="D31" s="1092">
        <f>IF(ISNUMBER(
   IF(J_V="SI",(Datos!K31-Datos!U31)/Datos!U31,(Datos!K31+Datos!AA31-(Datos!U31+Datos!AI31))/(Datos!U31+Datos!AI31))
     ),IF(J_V="SI",(Datos!K31-Datos!U31)/Datos!U31,(Datos!K31+Datos!AA31-(Datos!U31+Datos!AI31))/(Datos!U31+Datos!AI31))," - ")</f>
        <v>-1.0788690476190476E-2</v>
      </c>
      <c r="E31" s="1092">
        <f>IF(ISNUMBER(
   IF(J_V="SI",(Datos!L31-Datos!V31)/Datos!V31,(Datos!L31+Datos!AB31-(Datos!V31+Datos!AJ31))/(Datos!V31+Datos!AJ31))
     ),IF(J_V="SI",(Datos!L31-Datos!V31)/Datos!V31,(Datos!L31+Datos!AB31-(Datos!V31+Datos!AJ31))/(Datos!V31+Datos!AJ31))," - ")</f>
        <v>-4.0306401604960788E-2</v>
      </c>
      <c r="F31" s="1093">
        <f>IF(ISNUMBER((Datos!M31-Datos!W31)/Datos!W31),(Datos!M31-Datos!W31)/Datos!W31," - ")</f>
        <v>5.8910162002945507E-3</v>
      </c>
      <c r="G31" s="1094">
        <f>IF(ISNUMBER((Datos!N31-Datos!X31)/Datos!X31),(Datos!N31-Datos!X31)/Datos!X31," - ")</f>
        <v>-3.8273615635179156E-2</v>
      </c>
      <c r="H31" s="1095">
        <f>IF(ISNUMBER((Tasas!B31-Datos!BD31)/Datos!BD31),(Tasas!B31-Datos!BD31)/Datos!BD31," - ")</f>
        <v>-9.1393634213393998E-2</v>
      </c>
      <c r="I31" s="1096">
        <f>IF(ISNUMBER((Tasas!C31-Datos!BE31)/Datos!BE31),(Tasas!C31-Datos!BE31)/Datos!BE31," - ")</f>
        <v>-2.9839641787940678E-2</v>
      </c>
      <c r="J31" s="1097">
        <f>IF(ISNUMBER((Tasas!D31-Datos!BF31)/Datos!BF31),(Tasas!D31-Datos!BF31)/Datos!BF31," - ")</f>
        <v>0.30028067983588408</v>
      </c>
      <c r="K31" s="1097">
        <f>IF(ISNUMBER((Tasas!E31-Datos!BG31)/Datos!BG31),(Tasas!E31-Datos!BG31)/Datos!BG31," - ")</f>
        <v>-1.8440141816345169E-2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KDUgcf2OnOl+XvyUf3cdFQz3dxlO+h5UbrTDhIsTHPt1pbHunhhm1rrdEG+rPZi+XSVWS6Xe/8u6L68FbmA==" saltValue="U0zVRuPdls3vUdK5XOOF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CACERES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0.46666666666666667</v>
      </c>
      <c r="C10" s="498">
        <f>IF(ISNUMBER(NºAsuntos!I10/NºAsuntos!G10),NºAsuntos!I10/NºAsuntos!G10," - ")</f>
        <v>3.5714285714285716</v>
      </c>
      <c r="D10" s="499">
        <f>IF(ISNUMBER('Resol  Asuntos'!D10/NºAsuntos!G10),'Resol  Asuntos'!D10/NºAsuntos!G10," - ")</f>
        <v>0.21428571428571427</v>
      </c>
      <c r="E10" s="500">
        <f>IF(ISNUMBER((NºAsuntos!C10+NºAsuntos!E10)/NºAsuntos!G10),(NºAsuntos!C10+NºAsuntos!E10)/NºAsuntos!G10," - ")</f>
        <v>4.5714285714285712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1.0424564063684609</v>
      </c>
      <c r="C12" s="498">
        <f>IF(ISNUMBER(NºAsuntos!I12/NºAsuntos!G12),NºAsuntos!I12/NºAsuntos!G12," - ")</f>
        <v>2.4756363636363639</v>
      </c>
      <c r="D12" s="499">
        <f>IF(ISNUMBER('Resol  Asuntos'!D12/NºAsuntos!G12),'Resol  Asuntos'!D12/NºAsuntos!G12," - ")</f>
        <v>0.376</v>
      </c>
      <c r="E12" s="500">
        <f>IF(ISNUMBER((NºAsuntos!C12+NºAsuntos!E12)/NºAsuntos!G12),(NºAsuntos!C12+NºAsuntos!E12)/NºAsuntos!G12," - ")</f>
        <v>3.4756363636363639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1.0296515937731654</v>
      </c>
      <c r="C14" s="1156">
        <f>IF(ISNUMBER(NºAsuntos!I14/NºAsuntos!G14),NºAsuntos!I14/NºAsuntos!G14," - ")</f>
        <v>2.4866810655147589</v>
      </c>
      <c r="D14" s="1157">
        <f>IF(ISNUMBER('Resol  Asuntos'!D14/NºAsuntos!G14),'Resol  Asuntos'!D14/NºAsuntos!G14," - ")</f>
        <v>0.37437005039596832</v>
      </c>
      <c r="E14" s="1158">
        <f>IF(ISNUMBER((NºAsuntos!C14+NºAsuntos!E14)/NºAsuntos!G14),(NºAsuntos!C14+NºAsuntos!E14)/NºAsuntos!G14," - ")</f>
        <v>3.4866810655147589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0.81744271988174422</v>
      </c>
      <c r="C17" s="498">
        <f>IF(ISNUMBER(NºAsuntos!I17/NºAsuntos!G17),NºAsuntos!I17/NºAsuntos!G17," - ")</f>
        <v>1.5180831826401446</v>
      </c>
      <c r="D17" s="499">
        <f>IF(ISNUMBER('Resol  Asuntos'!D17/NºAsuntos!G17),'Resol  Asuntos'!D17/NºAsuntos!G17," - ")</f>
        <v>0.12839059674502712</v>
      </c>
      <c r="E17" s="500">
        <f>IF(ISNUMBER((NºAsuntos!C17+NºAsuntos!E17)/NºAsuntos!G17),(NºAsuntos!C17+NºAsuntos!E17)/NºAsuntos!G17," - ")</f>
        <v>2.5135623869801087</v>
      </c>
      <c r="G17" s="523"/>
    </row>
    <row r="18" spans="1:7">
      <c r="A18" s="450" t="str">
        <f>Datos!A18</f>
        <v>Jdos. Violencia contra la mujer</v>
      </c>
      <c r="B18" s="497">
        <f>IF(ISNUMBER(NºAsuntos!G18/NºAsuntos!E18),NºAsuntos!G18/NºAsuntos!E18," - ")</f>
        <v>0.90109890109890112</v>
      </c>
      <c r="C18" s="498">
        <f>IF(ISNUMBER(NºAsuntos!I18/NºAsuntos!G18),NºAsuntos!I18/NºAsuntos!G18," - ")</f>
        <v>0.78658536585365857</v>
      </c>
      <c r="D18" s="499">
        <f>IF(ISNUMBER('Resol  Asuntos'!D18/NºAsuntos!G18),'Resol  Asuntos'!D18/NºAsuntos!G18," - ")</f>
        <v>0.12804878048780488</v>
      </c>
      <c r="E18" s="500">
        <f>IF(ISNUMBER((NºAsuntos!C18+NºAsuntos!E18)/NºAsuntos!G18),(NºAsuntos!C18+NºAsuntos!E18)/NºAsuntos!G18," - ")</f>
        <v>1.8536585365853659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0.82736156351791534</v>
      </c>
      <c r="C23" s="1156">
        <f>IF(ISNUMBER(NºAsuntos!I23/NºAsuntos!G23),NºAsuntos!I23/NºAsuntos!G23," - ")</f>
        <v>1.4236220472440946</v>
      </c>
      <c r="D23" s="1159">
        <f>IF(ISNUMBER('Resol  Asuntos'!D23/NºAsuntos!G23),'Resol  Asuntos'!D23/NºAsuntos!G23," - ")</f>
        <v>0.12834645669291339</v>
      </c>
      <c r="E23" s="1158">
        <f>IF(ISNUMBER((NºAsuntos!C23+NºAsuntos!E23)/NºAsuntos!G23),(NºAsuntos!C23+NºAsuntos!E23)/NºAsuntos!G23," - ")</f>
        <v>2.4283464566929136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0.9219833564493759</v>
      </c>
      <c r="C31" s="1099">
        <f>IF(ISNUMBER(NºAsuntos!I31/NºAsuntos!G31),NºAsuntos!I31/NºAsuntos!G31," - ")</f>
        <v>1.9789394509213991</v>
      </c>
      <c r="D31" s="1100">
        <f>IF(ISNUMBER('Resol  Asuntos'!D31/NºAsuntos!G31),'Resol  Asuntos'!D31/NºAsuntos!G31," - ")</f>
        <v>0.25686348251222263</v>
      </c>
      <c r="E31" s="1101">
        <f>IF(ISNUMBER((NºAsuntos!C31+NºAsuntos!E31)/NºAsuntos!G31),(NºAsuntos!C31+NºAsuntos!E31)/NºAsuntos!G31," - ")</f>
        <v>2.9811959383226778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NZBoRdviZivJnYtGt027N9u506c8hdLBKVfcA2RNmWWJ10coOt5X3AW0PiYI0ZuNt5LK+l4GExzUO2c439ZWw==" saltValue="n7q+MaCXBrPwQiHzsgvU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CACERES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2</v>
      </c>
      <c r="Y10" s="374">
        <f t="shared" ref="Y10:Y13" si="0">SUM(W10:X10)</f>
        <v>16</v>
      </c>
      <c r="Z10" s="375" t="str">
        <f>IF(ISNUMBER(Datos!CC10),Datos!CC10," - ")</f>
        <v xml:space="preserve"> - </v>
      </c>
      <c r="AA10" s="372">
        <f>IF(ISNUMBER(Datos!L10),Datos!L10,"-")</f>
        <v>50</v>
      </c>
      <c r="AB10" s="374">
        <f>IF(ISNUMBER(Datos!R10),Datos!R10," - ")</f>
        <v>16</v>
      </c>
      <c r="AC10" s="374">
        <f t="shared" ref="AC10:AC13" si="1">IF(ISNUMBER(AA10+AB10),AA10+AB10," - ")</f>
        <v>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0.46666666666666667</v>
      </c>
      <c r="AM10" s="284">
        <f>IF(ISNUMBER(((NºAsuntos!I10/NºAsuntos!G10)*11)/factor_trimestre),((NºAsuntos!I10/NºAsuntos!G10)*11)/factor_trimestre," - ")</f>
        <v>7.1428571428571423</v>
      </c>
      <c r="AN10" s="267">
        <f>IF(ISNUMBER('Resol  Asuntos'!D10/NºAsuntos!G10),'Resol  Asuntos'!D10/NºAsuntos!G10," - ")</f>
        <v>0.21428571428571427</v>
      </c>
      <c r="AO10" s="268">
        <f>IF(ISNUMBER((NºAsuntos!C10+NºAsuntos!E10)/NºAsuntos!G10),(NºAsuntos!C10+NºAsuntos!E10)/NºAsuntos!G10," - ")</f>
        <v>4.5714285714285712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251</v>
      </c>
      <c r="Y12" s="374">
        <f t="shared" si="0"/>
        <v>251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517</v>
      </c>
      <c r="AJ12" s="243" t="str">
        <f>IF(ISNUMBER(Datos!BW12),Datos!BW12," - ")</f>
        <v xml:space="preserve"> - </v>
      </c>
      <c r="AK12" s="242" t="str">
        <f>IF(ISNUMBER(Datos!BX12),Datos!BX12," - ")</f>
        <v xml:space="preserve"> - </v>
      </c>
      <c r="AL12" s="266">
        <f>IF(ISNUMBER(NºAsuntos!G12/NºAsuntos!E12),NºAsuntos!G12/NºAsuntos!E12," - ")</f>
        <v>1.0424564063684609</v>
      </c>
      <c r="AM12" s="284">
        <f>IF(ISNUMBER(((NºAsuntos!I12/NºAsuntos!G12)*11)/factor_trimestre),((NºAsuntos!I12/NºAsuntos!G12)*11)/factor_trimestre," - ")</f>
        <v>4.9512727272727277</v>
      </c>
      <c r="AN12" s="267">
        <f>IF(ISNUMBER('Resol  Asuntos'!D12/NºAsuntos!G12),'Resol  Asuntos'!D12/NºAsuntos!G12," - ")</f>
        <v>0.376</v>
      </c>
      <c r="AO12" s="268">
        <f>IF(ISNUMBER((NºAsuntos!C12+NºAsuntos!E12)/NºAsuntos!G12),(NºAsuntos!C12+NºAsuntos!E12)/NºAsuntos!G12," - ")</f>
        <v>3.4756363636363639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34</v>
      </c>
      <c r="G14" s="1163">
        <f t="shared" si="5"/>
        <v>34</v>
      </c>
      <c r="H14" s="1162">
        <f t="shared" si="5"/>
        <v>0</v>
      </c>
      <c r="I14" s="1164">
        <f t="shared" si="5"/>
        <v>0</v>
      </c>
      <c r="J14" s="1164">
        <f t="shared" si="5"/>
        <v>0</v>
      </c>
      <c r="K14" s="1164">
        <f t="shared" si="5"/>
        <v>0</v>
      </c>
      <c r="L14" s="1164">
        <f t="shared" si="5"/>
        <v>398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253</v>
      </c>
      <c r="Y14" s="1165">
        <f t="shared" si="6"/>
        <v>267</v>
      </c>
      <c r="Z14" s="1165">
        <f t="shared" si="6"/>
        <v>0</v>
      </c>
      <c r="AA14" s="1165">
        <f t="shared" si="6"/>
        <v>50</v>
      </c>
      <c r="AB14" s="1165">
        <f t="shared" si="6"/>
        <v>5676</v>
      </c>
      <c r="AC14" s="1165">
        <f t="shared" si="6"/>
        <v>66</v>
      </c>
      <c r="AD14" s="1165">
        <f t="shared" si="6"/>
        <v>0</v>
      </c>
      <c r="AE14" s="1169">
        <f t="shared" si="6"/>
        <v>0</v>
      </c>
      <c r="AF14" s="1162">
        <f t="shared" si="6"/>
        <v>0</v>
      </c>
      <c r="AG14" s="1170">
        <f t="shared" si="6"/>
        <v>0</v>
      </c>
      <c r="AH14" s="1167">
        <f t="shared" si="6"/>
        <v>0</v>
      </c>
      <c r="AI14" s="1162">
        <f t="shared" si="6"/>
        <v>520</v>
      </c>
      <c r="AJ14" s="1164">
        <f t="shared" si="6"/>
        <v>0</v>
      </c>
      <c r="AK14" s="1167">
        <f>SUBTOTAL(9,AK9:AK13)</f>
        <v>0</v>
      </c>
      <c r="AL14" s="1171">
        <f>IF(ISNUMBER(NºAsuntos!G14/NºAsuntos!E14),NºAsuntos!G14/NºAsuntos!E14," - ")</f>
        <v>1.0296515937731654</v>
      </c>
      <c r="AM14" s="1171">
        <f>IF(ISNUMBER(((NºAsuntos!I14/NºAsuntos!G14)*11)/factor_trimestre),((NºAsuntos!I14/NºAsuntos!G14)*11)/factor_trimestre," - ")</f>
        <v>4.9733621310295177</v>
      </c>
      <c r="AN14" s="1172">
        <f>IF(ISNUMBER('Resol  Asuntos'!D14/NºAsuntos!G14),'Resol  Asuntos'!D14/NºAsuntos!G14," - ")</f>
        <v>0.37437005039596832</v>
      </c>
      <c r="AO14" s="1173">
        <f>IF(ISNUMBER((NºAsuntos!C14+NºAsuntos!E14)/NºAsuntos!G14),(NºAsuntos!C14+NºAsuntos!E14)/NºAsuntos!G14," - ")</f>
        <v>3.4866810655147589</v>
      </c>
      <c r="AP14" s="1174" t="str">
        <f t="shared" si="2"/>
        <v xml:space="preserve"> - </v>
      </c>
      <c r="AQ14" s="1174">
        <f>IF(ISNUMBER((H14-W14+K14)/(F14)),(H14-W14+K14)/(F14)," - ")</f>
        <v>-0.41176470588235292</v>
      </c>
      <c r="AR14" s="1175">
        <f>IF(ISNUMBER((Datos!P14-Datos!Q14)/(Datos!R14-Datos!P14+Datos!Q14)),(Datos!P14-Datos!Q14)/(Datos!R14-Datos!P14+Datos!Q14)," - ")</f>
        <v>2.6215874163804012E-2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1432</v>
      </c>
      <c r="G17" s="373">
        <f>IF(ISNUMBER(IF(D_I="SI",Datos!I17,Datos!I17+Datos!AC17)),IF(D_I="SI",Datos!I17,Datos!I17+Datos!AC17)," - ")</f>
        <v>1427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1106</v>
      </c>
      <c r="X17" s="240">
        <f>IF(ISNUMBER(Datos!Q17),Datos!Q17," - ")</f>
        <v>43</v>
      </c>
      <c r="Y17" s="374">
        <f t="shared" ref="Y17:Y22" si="9">SUM(W17:X17)</f>
        <v>1149</v>
      </c>
      <c r="Z17" s="375" t="str">
        <f>IF(ISNUMBER(Datos!CC17),Datos!CC17," - ")</f>
        <v xml:space="preserve"> - </v>
      </c>
      <c r="AA17" s="372">
        <f>IF(ISNUMBER(IF(D_I="SI",Datos!L17,Datos!L17+Datos!AF17)),IF(D_I="SI",Datos!L17,Datos!L17+Datos!AF17)," - ")</f>
        <v>1679</v>
      </c>
      <c r="AB17" s="374">
        <f>IF(ISNUMBER(Datos!R17),Datos!R17," - ")</f>
        <v>263</v>
      </c>
      <c r="AC17" s="374">
        <f t="shared" si="8"/>
        <v>1942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142</v>
      </c>
      <c r="AJ17" s="245" t="str">
        <f>IF(ISNUMBER(Datos!BW17),Datos!BW17," - ")</f>
        <v xml:space="preserve"> - </v>
      </c>
      <c r="AK17" s="246" t="str">
        <f>IF(ISNUMBER(Datos!BX17),Datos!BX17," - ")</f>
        <v xml:space="preserve"> - </v>
      </c>
      <c r="AL17" s="266">
        <f>IF(ISNUMBER(NºAsuntos!G17/NºAsuntos!E17),NºAsuntos!G17/NºAsuntos!E17," - ")</f>
        <v>0.81744271988174422</v>
      </c>
      <c r="AM17" s="284">
        <f>IF(ISNUMBER(((NºAsuntos!I17/NºAsuntos!G17)*11)/factor_trimestre),((NºAsuntos!I17/NºAsuntos!G17)*11)/factor_trimestre," - ")</f>
        <v>3.0361663652802893</v>
      </c>
      <c r="AN17" s="267">
        <f>IF(ISNUMBER('Resol  Asuntos'!D17/NºAsuntos!G17),'Resol  Asuntos'!D17/NºAsuntos!G17," - ")</f>
        <v>0.12839059674502712</v>
      </c>
      <c r="AO17" s="268">
        <f>IF(ISNUMBER((NºAsuntos!C17+NºAsuntos!E17)/NºAsuntos!G17),(NºAsuntos!C17+NºAsuntos!E17)/NºAsuntos!G17," - ")</f>
        <v>2.5135623869801087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164</v>
      </c>
      <c r="X18" s="240">
        <f>IF(ISNUMBER(Datos!Q18),Datos!Q18," - ")</f>
        <v>3</v>
      </c>
      <c r="Y18" s="374">
        <f t="shared" si="9"/>
        <v>167</v>
      </c>
      <c r="Z18" s="375" t="str">
        <f>IF(ISNUMBER(Datos!CC18),Datos!CC18," - ")</f>
        <v xml:space="preserve"> - </v>
      </c>
      <c r="AA18" s="372">
        <f>IF(ISNUMBER(Datos!L18),Datos!L18,"-")</f>
        <v>129</v>
      </c>
      <c r="AB18" s="374">
        <f>IF(ISNUMBER(Datos!R18),Datos!R18," - ")</f>
        <v>12</v>
      </c>
      <c r="AC18" s="374">
        <f t="shared" si="8"/>
        <v>141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0.90109890109890112</v>
      </c>
      <c r="AM18" s="284">
        <f>IF(ISNUMBER(((NºAsuntos!I18/NºAsuntos!G18)*11)/factor_trimestre),((NºAsuntos!I18/NºAsuntos!G18)*11)/factor_trimestre," - ")</f>
        <v>1.5731707317073171</v>
      </c>
      <c r="AN18" s="267">
        <f>IF(ISNUMBER('Resol  Asuntos'!D18/NºAsuntos!G18),'Resol  Asuntos'!D18/NºAsuntos!G18," - ")</f>
        <v>0.12804878048780488</v>
      </c>
      <c r="AO18" s="268">
        <f>IF(ISNUMBER((NºAsuntos!C18+NºAsuntos!E18)/NºAsuntos!G18),(NºAsuntos!C18+NºAsuntos!E18)/NºAsuntos!G18," - ")</f>
        <v>1.8536585365853659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1432</v>
      </c>
      <c r="G23" s="1163">
        <f>SUBTOTAL(9,G16:G22)</f>
        <v>1549</v>
      </c>
      <c r="H23" s="1162">
        <f t="shared" ref="H23:O23" si="13">SUBTOTAL(9,H15:H22)</f>
        <v>0</v>
      </c>
      <c r="I23" s="1164">
        <f t="shared" si="13"/>
        <v>0</v>
      </c>
      <c r="J23" s="1164">
        <f t="shared" si="13"/>
        <v>0</v>
      </c>
      <c r="K23" s="1164">
        <f t="shared" si="13"/>
        <v>0</v>
      </c>
      <c r="L23" s="1164">
        <f t="shared" si="13"/>
        <v>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1270</v>
      </c>
      <c r="X23" s="1164">
        <f t="shared" si="14"/>
        <v>46</v>
      </c>
      <c r="Y23" s="1165">
        <f t="shared" si="14"/>
        <v>1316</v>
      </c>
      <c r="Z23" s="1165">
        <f t="shared" si="14"/>
        <v>0</v>
      </c>
      <c r="AA23" s="1165">
        <f t="shared" si="14"/>
        <v>1808</v>
      </c>
      <c r="AB23" s="1165">
        <f t="shared" si="14"/>
        <v>275</v>
      </c>
      <c r="AC23" s="1165">
        <f t="shared" si="14"/>
        <v>2083</v>
      </c>
      <c r="AD23" s="1165">
        <f t="shared" si="14"/>
        <v>0</v>
      </c>
      <c r="AE23" s="1169">
        <f t="shared" si="14"/>
        <v>0</v>
      </c>
      <c r="AF23" s="1162">
        <f t="shared" si="14"/>
        <v>0</v>
      </c>
      <c r="AG23" s="1170">
        <f t="shared" si="14"/>
        <v>0</v>
      </c>
      <c r="AH23" s="1167">
        <f t="shared" si="14"/>
        <v>0</v>
      </c>
      <c r="AI23" s="1162">
        <f t="shared" si="14"/>
        <v>163</v>
      </c>
      <c r="AJ23" s="1164">
        <f t="shared" si="14"/>
        <v>0</v>
      </c>
      <c r="AK23" s="1167">
        <f t="shared" si="14"/>
        <v>0</v>
      </c>
      <c r="AL23" s="1171">
        <f>IF(ISNUMBER(NºAsuntos!G23/NºAsuntos!E23),NºAsuntos!G23/NºAsuntos!E23," - ")</f>
        <v>0.82736156351791534</v>
      </c>
      <c r="AM23" s="1171">
        <f>IF(ISNUMBER(((NºAsuntos!I23/NºAsuntos!G23)*11)/factor_trimestre),((NºAsuntos!I23/NºAsuntos!G23)*11)/factor_trimestre," - ")</f>
        <v>2.8472440944881892</v>
      </c>
      <c r="AN23" s="1172">
        <f>IF(ISNUMBER('Resol  Asuntos'!D23/NºAsuntos!G23),'Resol  Asuntos'!D23/NºAsuntos!G23," - ")</f>
        <v>0.12834645669291339</v>
      </c>
      <c r="AO23" s="1173">
        <f>IF(ISNUMBER((NºAsuntos!C23+NºAsuntos!E23)/NºAsuntos!G23),(NºAsuntos!C23+NºAsuntos!E23)/NºAsuntos!G23," - ")</f>
        <v>2.4283464566929136</v>
      </c>
      <c r="AP23" s="1174" t="str">
        <f t="shared" si="2"/>
        <v xml:space="preserve"> - </v>
      </c>
      <c r="AQ23" s="1174">
        <f>IF(ISNUMBER((H23-W23+K23)/(F23)),(H23-W23+K23)/(F23)," - ")</f>
        <v>-0.88687150837988826</v>
      </c>
      <c r="AR23" s="1175">
        <f>IF(ISNUMBER((Datos!P23-Datos!Q23)/(Datos!R23-Datos!P23+Datos!Q23)),(Datos!P23-Datos!Q23)/(Datos!R23-Datos!P23+Datos!Q23)," - ")</f>
        <v>6.589147286821706E-2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1466</v>
      </c>
      <c r="G31" s="1118">
        <f t="shared" si="20"/>
        <v>1583</v>
      </c>
      <c r="H31" s="1117">
        <f t="shared" si="20"/>
        <v>0</v>
      </c>
      <c r="I31" s="1119">
        <f t="shared" si="20"/>
        <v>0</v>
      </c>
      <c r="J31" s="1119">
        <f t="shared" si="20"/>
        <v>0</v>
      </c>
      <c r="K31" s="1180">
        <f t="shared" si="20"/>
        <v>0</v>
      </c>
      <c r="L31" s="1119">
        <f t="shared" si="20"/>
        <v>461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1284</v>
      </c>
      <c r="X31" s="1118">
        <f t="shared" si="21"/>
        <v>299</v>
      </c>
      <c r="Y31" s="1125">
        <f t="shared" si="21"/>
        <v>1583</v>
      </c>
      <c r="Z31" s="1125">
        <f t="shared" si="21"/>
        <v>0</v>
      </c>
      <c r="AA31" s="1125">
        <f t="shared" si="21"/>
        <v>1858</v>
      </c>
      <c r="AB31" s="1125">
        <f t="shared" si="21"/>
        <v>5951</v>
      </c>
      <c r="AC31" s="1125">
        <f t="shared" si="21"/>
        <v>2149</v>
      </c>
      <c r="AD31" s="1125">
        <f t="shared" si="21"/>
        <v>0</v>
      </c>
      <c r="AE31" s="1127">
        <f t="shared" si="21"/>
        <v>0</v>
      </c>
      <c r="AF31" s="1128">
        <f t="shared" si="21"/>
        <v>0</v>
      </c>
      <c r="AG31" s="1129">
        <f t="shared" si="21"/>
        <v>0</v>
      </c>
      <c r="AH31" s="1127">
        <f t="shared" si="21"/>
        <v>0</v>
      </c>
      <c r="AI31" s="1117">
        <f t="shared" si="21"/>
        <v>683</v>
      </c>
      <c r="AJ31" s="1117">
        <f t="shared" si="21"/>
        <v>0</v>
      </c>
      <c r="AK31" s="1127">
        <f t="shared" si="21"/>
        <v>0</v>
      </c>
      <c r="AL31" s="1183">
        <f>IF(ISNUMBER(NºAsuntos!G31/NºAsuntos!E31),NºAsuntos!G31/NºAsuntos!E31," - ")</f>
        <v>0.9219833564493759</v>
      </c>
      <c r="AM31" s="1184">
        <f>IF(ISNUMBER(((NºAsuntos!I31/NºAsuntos!G31)*11)/factor_trimestre),((NºAsuntos!I31/NºAsuntos!G31)*11)/factor_trimestre," - ")</f>
        <v>3.9578789018427982</v>
      </c>
      <c r="AN31" s="1184">
        <f>IF(ISNUMBER('Resol  Asuntos'!D31/NºAsuntos!G31),'Resol  Asuntos'!D31/NºAsuntos!G31," - ")</f>
        <v>0.25686348251222263</v>
      </c>
      <c r="AO31" s="1185">
        <f>IF(ISNUMBER((NºAsuntos!C31+NºAsuntos!E31)/NºAsuntos!G31),(NºAsuntos!C31+NºAsuntos!E31)/NºAsuntos!G31," - ")</f>
        <v>2.9811959383226778</v>
      </c>
      <c r="AP31" s="1186" t="str">
        <f t="shared" si="2"/>
        <v xml:space="preserve"> - </v>
      </c>
      <c r="AQ31" s="1187">
        <f>IF(OR(ISNUMBER(FIND("01",Criterios!A8,1)),ISNUMBER(FIND("02",Criterios!A8,1)),ISNUMBER(FIND("03",Criterios!A8,1)),ISNUMBER(FIND("04",Criterios!A8,1))),(I31-W31+K31)/(F31-K31),(H31-W31+K31)/(F31-K31))</f>
        <v>-0.87585266030013642</v>
      </c>
      <c r="AR31" s="1188">
        <f>IF(ISNUMBER((Datos!P31-Datos!Q31)/(Datos!R31-Datos!P31+Datos!Q31)),(Datos!P31-Datos!Q31)/(Datos!R31-Datos!P31+Datos!Q31)," - ")</f>
        <v>2.7984107790637414E-2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730.86104470457758</v>
      </c>
      <c r="G33" s="277">
        <f>IF(ISNUMBER(STDEV(G8:G30)),STDEV(G8:G30),"-")</f>
        <v>709.57609746611263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565.88203381135565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224.12608058858299</v>
      </c>
      <c r="AJ33" s="276">
        <f t="shared" si="25"/>
        <v>0</v>
      </c>
      <c r="AK33" s="278">
        <f t="shared" si="25"/>
        <v>0</v>
      </c>
      <c r="AL33" s="273">
        <f t="shared" si="25"/>
        <v>0.2099538296342392</v>
      </c>
      <c r="AM33" s="274">
        <f t="shared" si="25"/>
        <v>1.99155471724287</v>
      </c>
      <c r="AN33" s="274">
        <f t="shared" si="25"/>
        <v>0.1210801214906676</v>
      </c>
      <c r="AO33" s="275">
        <f t="shared" si="25"/>
        <v>0.97896983510821256</v>
      </c>
      <c r="AP33" s="317" t="str">
        <f t="shared" si="25"/>
        <v>-</v>
      </c>
      <c r="AQ33" s="318">
        <f t="shared" si="25"/>
        <v>0.33595124183386493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N9d8Qdu9NvrzeYfZHTeDR1OcA+c9nNe0q49E8XXdBEOun19TWS//yw3KsqGnyXeJAuV6inyjMnx386AaHfYeg==" saltValue="NGk9x/xihx8aOwNc9ZRb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CACERES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6.25E-2</v>
      </c>
      <c r="E10" s="393">
        <f>IF(ISNUMBER((Datos!J10-Datos!T10)/Datos!T10),(Datos!J10-Datos!T10)/Datos!T10," - ")</f>
        <v>2.75</v>
      </c>
      <c r="F10" s="393">
        <f>IF(ISNUMBER((Datos!K10-Datos!U10)/Datos!U10),(Datos!K10-Datos!U10)/Datos!U10," - ")</f>
        <v>1.8</v>
      </c>
      <c r="G10" s="394">
        <f>IF(ISNUMBER((Datos!L10-Datos!V10)/Datos!V10),(Datos!L10-Datos!V10)/Datos!V10," - ")</f>
        <v>0.42857142857142855</v>
      </c>
      <c r="H10" s="244">
        <f>IF(ISNUMBER((Datos!M10-Datos!W10)/Datos!W10),(Datos!M10-Datos!W10)/Datos!W10," - ")</f>
        <v>2</v>
      </c>
      <c r="I10" s="395">
        <f>IF(ISNUMBER((Tasas!C10-Datos!BE10)/Datos!BE10),(Tasas!C10-Datos!BE10)/Datos!BE10," - ")</f>
        <v>-0.48979591836734693</v>
      </c>
      <c r="J10" s="394">
        <f>IF(ISNUMBER((Tasas!D10-Datos!BF10)/Datos!BF10),(Tasas!D10-Datos!BF10)/Datos!BF10," - ")</f>
        <v>7.1428571428571314E-2</v>
      </c>
      <c r="K10" s="396">
        <f>IF(ISNUMBER((Tasas!E10-Datos!BG10)/Datos!BG10),(Tasas!E10-Datos!BG10)/Datos!BG10," - ")</f>
        <v>-0.4285714285714286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2.3762376237623763E-2</v>
      </c>
      <c r="I12" s="395">
        <f>IF(ISNUMBER((Tasas!C12-Datos!BE12)/Datos!BE12),(Tasas!C12-Datos!BE12)/Datos!BE12," - ")</f>
        <v>-8.8631964012061859E-2</v>
      </c>
      <c r="J12" s="394">
        <f>IF(ISNUMBER((Tasas!D12-Datos!BF12)/Datos!BF12),(Tasas!D12-Datos!BF12)/Datos!BF12," - ")</f>
        <v>0.42606162464985986</v>
      </c>
      <c r="K12" s="396">
        <f>IF(ISNUMBER((Tasas!E12-Datos!BG12)/Datos!BG12),(Tasas!E12-Datos!BG12)/Datos!BG12," - ")</f>
        <v>-6.4783061136002296E-2</v>
      </c>
      <c r="M12" t="e">
        <f>IF(Monitorios="SI",Datos!CE12,0)</f>
        <v>#REF!</v>
      </c>
      <c r="N12" t="e">
        <f>IF(Monitorios="SI",Datos!CF12,0)</f>
        <v>#REF!</v>
      </c>
      <c r="O12" t="e">
        <f>IF(Monitorios="SI",Datos!CG12,0)</f>
        <v>#REF!</v>
      </c>
      <c r="P12" t="e">
        <f>IF(Monitorios="SI",Datos!CH12,0)</f>
        <v>#REF!</v>
      </c>
      <c r="Q12">
        <f>IF(J_V="SI",0,Datos!AG12)</f>
        <v>172</v>
      </c>
      <c r="R12">
        <f>IF(J_V="SI",0,Datos!AH12)</f>
        <v>149</v>
      </c>
      <c r="S12">
        <f>IF(J_V="SI",0,Datos!AI12)</f>
        <v>148</v>
      </c>
      <c r="T12">
        <f>IF(J_V="SI",0,Datos!AJ12)</f>
        <v>173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2.766798418972332E-2</v>
      </c>
      <c r="I14" s="402">
        <f>IF(ISNUMBER((Tasas!C14-Datos!BE14)/Datos!BE14),(Tasas!C14-Datos!BE14)/Datos!BE14," - ")</f>
        <v>-8.984660166050161E-2</v>
      </c>
      <c r="J14" s="400">
        <f>IF(ISNUMBER((Tasas!D14-Datos!BF14)/Datos!BF14),(Tasas!D14-Datos!BF14)/Datos!BF14," - ")</f>
        <v>0.42114217454782393</v>
      </c>
      <c r="K14" s="403">
        <f>IF(ISNUMBER((Tasas!E14-Datos!BG14)/Datos!BG14),(Tasas!E14-Datos!BG14)/Datos!BG14," - ")</f>
        <v>-6.5772955829148744E-2</v>
      </c>
      <c r="M14" t="e">
        <f>IF(Monitorios="SI",Datos!CE14,0)</f>
        <v>#REF!</v>
      </c>
      <c r="N14" t="e">
        <f>IF(Monitorios="SI",Datos!CF14,0)</f>
        <v>#REF!</v>
      </c>
      <c r="O14" t="e">
        <f>IF(Monitorios="SI",Datos!CG14,0)</f>
        <v>#REF!</v>
      </c>
      <c r="P14" t="e">
        <f>IF(Monitorios="SI",Datos!CH14,0)</f>
        <v>#REF!</v>
      </c>
      <c r="Q14">
        <f>IF(J_V="SI",0,Datos!AG14)</f>
        <v>172</v>
      </c>
      <c r="R14">
        <f>IF(J_V="SI",0,Datos!AH14)</f>
        <v>149</v>
      </c>
      <c r="S14">
        <f>IF(J_V="SI",0,Datos!AI14)</f>
        <v>148</v>
      </c>
      <c r="T14">
        <f>IF(J_V="SI",0,Datos!AJ14)</f>
        <v>173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-0.1566193853427896</v>
      </c>
      <c r="E17" s="393">
        <f>IF(ISNUMBER(
   IF(D_I="SI",(Datos!J17-Datos!T17)/Datos!T17,(Datos!J17+Datos!AD17-(Datos!T17+Datos!AL17))/(Datos!T17+Datos!AL17))
     ),IF(D_I="SI",(Datos!J17-Datos!T17)/Datos!T17,(Datos!J17+Datos!AD17-(Datos!T17+Datos!AL17))/(Datos!T17+Datos!AL17))," - ")</f>
        <v>0.13411567476948869</v>
      </c>
      <c r="F17" s="393">
        <f>IF(ISNUMBER(
   IF(D_I="SI",(Datos!K17-Datos!U17)/Datos!U17,(Datos!K17+Datos!AE17-(Datos!U17+Datos!AM17))/(Datos!U17+Datos!AM17))
     ),IF(D_I="SI",(Datos!K17-Datos!U17)/Datos!U17,(Datos!K17+Datos!AE17-(Datos!U17+Datos!AM17))/(Datos!U17+Datos!AM17))," - ")</f>
        <v>-0.10445344129554655</v>
      </c>
      <c r="G17" s="394">
        <f>IF(ISNUMBER(
   IF(D_I="SI",(Datos!L17-Datos!V17)/Datos!V17,(Datos!L17+Datos!AF17-(Datos!V17+Datos!AN17))/(Datos!V17+Datos!AN17))
     ),IF(D_I="SI",(Datos!L17-Datos!V17)/Datos!V17,(Datos!L17+Datos!AF17-(Datos!V17+Datos!AN17))/(Datos!V17+Datos!AN17))," - ")</f>
        <v>1.3277006638503319E-2</v>
      </c>
      <c r="H17" s="244">
        <f>IF(ISNUMBER((Datos!M17-Datos!W17)/Datos!W17),(Datos!M17-Datos!W17)/Datos!W17," - ")</f>
        <v>-0.1125</v>
      </c>
      <c r="I17" s="395">
        <f>IF(ISNUMBER((Tasas!C17-Datos!BE17)/Datos!BE17),(Tasas!C17-Datos!BE17)/Datos!BE17," - ")</f>
        <v>0.13146211862436846</v>
      </c>
      <c r="J17" s="394">
        <f>IF(ISNUMBER((Tasas!D17-Datos!BF17)/Datos!BF17),(Tasas!D17-Datos!BF17)/Datos!BF17," - ")</f>
        <v>-8.9850813743219352E-3</v>
      </c>
      <c r="K17" s="396">
        <f>IF(ISNUMBER((Tasas!E17-Datos!BG17)/Datos!BG17),(Tasas!E17-Datos!BG17)/Datos!BG17," - ")</f>
        <v>7.5996377095471163E-2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v>
      </c>
      <c r="E18" s="393">
        <f>IF(ISNUMBER(
   IF(D_I="SI",(Datos!J18-Datos!T18)/Datos!T18,(Datos!J18+Datos!AD18-(Datos!T18+Datos!AL18))/(Datos!T18+Datos!AL18))
     ),IF(D_I="SI",(Datos!J18-Datos!T18)/Datos!T18,(Datos!J18+Datos!AD18-(Datos!T18+Datos!AL18))/(Datos!T18+Datos!AL18))," - ")</f>
        <v>0.7009345794392523</v>
      </c>
      <c r="F18" s="393">
        <f>IF(ISNUMBER(
   IF(D_I="SI",(Datos!K18-Datos!U18)/Datos!U18,(Datos!K18+Datos!AE18-(Datos!U18+Datos!AM18))/(Datos!U18+Datos!AM18))
     ),IF(D_I="SI",(Datos!K18-Datos!U18)/Datos!U18,(Datos!K18+Datos!AE18-(Datos!U18+Datos!AM18))/(Datos!U18+Datos!AM18))," - ")</f>
        <v>0.74468085106382975</v>
      </c>
      <c r="G18" s="394">
        <f>IF(ISNUMBER(
   IF(D_I="SI",(Datos!L18-Datos!V18)/Datos!V18,(Datos!L18+Datos!AF18-(Datos!V18+Datos!AN18))/(Datos!V18+Datos!AN18))
     ),IF(D_I="SI",(Datos!L18-Datos!V18)/Datos!V18,(Datos!L18+Datos!AF18-(Datos!V18+Datos!AN18))/(Datos!V18+Datos!AN18))," - ")</f>
        <v>0.1415929203539823</v>
      </c>
      <c r="H18" s="244">
        <f>IF(ISNUMBER((Datos!M18-Datos!W18)/Datos!W18),(Datos!M18-Datos!W18)/Datos!W18," - ")</f>
        <v>0.61538461538461542</v>
      </c>
      <c r="I18" s="395">
        <f>IF(ISNUMBER((Tasas!C18-Datos!BE18)/Datos!BE18),(Tasas!C18-Datos!BE18)/Datos!BE18," - ")</f>
        <v>-0.34567235052881501</v>
      </c>
      <c r="J18" s="394">
        <f>IF(ISNUMBER((Tasas!D18-Datos!BF18)/Datos!BF18),(Tasas!D18-Datos!BF18)/Datos!BF18," - ")</f>
        <v>-7.4108818011257058E-2</v>
      </c>
      <c r="K18" s="396">
        <f>IF(ISNUMBER((Tasas!E18-Datos!BG18)/Datos!BG18),(Tasas!E18-Datos!BG18)/Datos!BG18," - ")</f>
        <v>-0.15824201720278061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-0.13560267857142858</v>
      </c>
      <c r="E23" s="399">
        <f>IF(ISNUMBER(
   IF(D_I="SI",(Datos!J23-Datos!T23)/Datos!T23,(Datos!J23+Datos!AD23-(Datos!T23+Datos!AL23))/(Datos!T23+Datos!AL23))
     ),IF(D_I="SI",(Datos!J23-Datos!T23)/Datos!T23,(Datos!J23+Datos!AD23-(Datos!T23+Datos!AL23))/(Datos!T23+Datos!AL23))," - ")</f>
        <v>0.18076923076923077</v>
      </c>
      <c r="F23" s="399">
        <f>IF(ISNUMBER(
   IF(D_I="SI",(Datos!K23-Datos!U23)/Datos!U23,(Datos!K23+Datos!AE23-(Datos!U23+Datos!AM23))/(Datos!U23+Datos!AM23))
     ),IF(D_I="SI",(Datos!K23-Datos!U23)/Datos!U23,(Datos!K23+Datos!AE23-(Datos!U23+Datos!AM23))/(Datos!U23+Datos!AM23))," - ")</f>
        <v>-4.439428141459744E-2</v>
      </c>
      <c r="G23" s="400">
        <f>IF(ISNUMBER(
   IF(D_I="SI",(Datos!L23-Datos!V23)/Datos!V23,(Datos!L23+Datos!AF23-(Datos!V23+Datos!AN23))/(Datos!V23+Datos!AN23))
     ),IF(D_I="SI",(Datos!L23-Datos!V23)/Datos!V23,(Datos!L23+Datos!AF23-(Datos!V23+Datos!AN23))/(Datos!V23+Datos!AN23))," - ")</f>
        <v>2.1468926553672316E-2</v>
      </c>
      <c r="H23" s="401">
        <f>IF(ISNUMBER((Datos!M23-Datos!W23)/Datos!W23),(Datos!M23-Datos!W23)/Datos!W23," - ")</f>
        <v>-5.7803468208092484E-2</v>
      </c>
      <c r="I23" s="402">
        <f>IF(ISNUMBER((Tasas!C23-Datos!BE23)/Datos!BE23),(Tasas!C23-Datos!BE23)/Datos!BE23," - ")</f>
        <v>6.8922994795142245E-2</v>
      </c>
      <c r="J23" s="400">
        <f>IF(ISNUMBER((Tasas!D23-Datos!BF23)/Datos!BF23),(Tasas!D23-Datos!BF23)/Datos!BF23," - ")</f>
        <v>-1.403213326657868E-2</v>
      </c>
      <c r="K23" s="403">
        <f>IF(ISNUMBER((Tasas!E23-Datos!BG23)/Datos!BG23),(Tasas!E23-Datos!BG23)/Datos!BG23," - ")</f>
        <v>4.3749172362510393E-2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-8.5584768812330014E-2</v>
      </c>
      <c r="E31" s="409">
        <f>IF(ISNUMBER(
   IF(J_V="SI",(Datos!J31-Datos!T31)/Datos!T31,(Datos!J31+Datos!Z31-(Datos!T31+Datos!AH31))/(Datos!T31+Datos!AH31))
     ),IF(J_V="SI",(Datos!J31-Datos!T31)/Datos!T31,(Datos!J31+Datos!Z31-(Datos!T31+Datos!AH31))/(Datos!T31+Datos!AH31))," - ")</f>
        <v>8.8712721781804449E-2</v>
      </c>
      <c r="F31" s="409">
        <f>IF(ISNUMBER(
   IF(J_V="SI",(Datos!K31-Datos!U31)/Datos!U31,(Datos!K31+Datos!AA31-(Datos!U31+Datos!AI31))/(Datos!U31+Datos!AI31))
     ),IF(J_V="SI",(Datos!K31-Datos!U31)/Datos!U31,(Datos!K31+Datos!AA31-(Datos!U31+Datos!AI31))/(Datos!U31+Datos!AI31))," - ")</f>
        <v>-1.0788690476190476E-2</v>
      </c>
      <c r="G31" s="410">
        <f>IF(ISNUMBER(
   IF(J_V="SI",(Datos!L31-Datos!V31)/Datos!V31,(Datos!L31+Datos!AB31-(Datos!V31+Datos!AJ31))/(Datos!V31+Datos!AJ31))
     ),IF(J_V="SI",(Datos!L31-Datos!V31)/Datos!V31,(Datos!L31+Datos!AB31-(Datos!V31+Datos!AJ31))/(Datos!V31+Datos!AJ31))," - ")</f>
        <v>-4.0306401604960788E-2</v>
      </c>
      <c r="H31" s="411">
        <f>IF(ISNUMBER((Datos!M31-Datos!W31)/Datos!W31),(Datos!M31-Datos!W31)/Datos!W31," - ")</f>
        <v>5.8910162002945507E-3</v>
      </c>
      <c r="I31" s="408">
        <f>IF(ISNUMBER((Tasas!C31-Datos!BE31)/Datos!BE31),(Tasas!C31-Datos!BE31)/Datos!BE31," - ")</f>
        <v>-2.9839641787940678E-2</v>
      </c>
      <c r="J31" s="409">
        <f>IF(ISNUMBER((Tasas!D31-Datos!BF31)/Datos!BF31),(Tasas!D31-Datos!BF31)/Datos!BF31," - ")</f>
        <v>0.30028067983588408</v>
      </c>
      <c r="K31" s="410">
        <f>IF(ISNUMBER((Tasas!E31-Datos!BG31)/Datos!BG31),(Tasas!E31-Datos!BG31)/Datos!BG31," - ")</f>
        <v>-1.8440141816345169E-2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0.17813883973763403</v>
      </c>
      <c r="E33" s="303">
        <f t="shared" si="1"/>
        <v>1.2327644699759857</v>
      </c>
      <c r="F33" s="303">
        <f t="shared" si="1"/>
        <v>0.88927439500465744</v>
      </c>
      <c r="G33" s="304">
        <f t="shared" si="1"/>
        <v>0.19397603446635325</v>
      </c>
      <c r="H33" s="310">
        <f t="shared" si="1"/>
        <v>0.81942226790946371</v>
      </c>
      <c r="I33" s="302">
        <f t="shared" si="1"/>
        <v>0.23959813908662353</v>
      </c>
      <c r="J33" s="303">
        <f t="shared" si="1"/>
        <v>0.22684014289136692</v>
      </c>
      <c r="K33" s="304">
        <f t="shared" si="1"/>
        <v>0.18187943694541062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JpdjDQPvdEMC7j7N76dfMpWqBEz8gTV6Wyx/zYDg2fA4anogauny2ccrtJj/qW+S+12FIMKYBlEzSBBN5fPhA==" saltValue="ibu/j6TJhdr/tDiyUrb5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